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01 BUSINESS\02 CLIENTS\SDD_26_THE BARN (Bramley)\07 FINAL SUBMISSION\"/>
    </mc:Choice>
  </mc:AlternateContent>
  <workbookProtection workbookAlgorithmName="SHA-512" workbookHashValue="TuRFJzp8rrr3k3M7rhk0bCNX7bXDqkxOj3p2Q7Am6ypTMl1gJVKNUGRH2wCbASomFkDdjvG450LYFseisTgjeQ==" workbookSaltValue="qYZZ0q2zEBfWSfeoRo100Q==" workbookSpinCount="100000" lockStructure="1"/>
  <bookViews>
    <workbookView xWindow="0" yWindow="0" windowWidth="16524" windowHeight="5760" tabRatio="730" firstSheet="2" activeTab="7"/>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3. Habitats Translation" sheetId="19" state="hidden" r:id="rId12"/>
  </sheets>
  <externalReferences>
    <externalReference r:id="rId13"/>
  </externalReferences>
  <definedNames>
    <definedName name="_xlnm._FilterDatabase" localSheetId="9" hidden="1">'10. Condition and Temporal'!$C$4:$M$85</definedName>
    <definedName name="_xlnm._FilterDatabase" localSheetId="11"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 name="_xlnm.Print_Area" localSheetId="0">'1. Introduction'!$B$1:$S$36</definedName>
    <definedName name="_xlnm.Print_Area" localSheetId="1">'2. Site Details'!$B$2:$D$23</definedName>
    <definedName name="_xlnm.Print_Area" localSheetId="2">'3. Desktop Assessment'!$B$2:$D$20</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E19" i="15"/>
  <c r="E17" i="15"/>
  <c r="E14" i="15"/>
  <c r="E15" i="15"/>
  <c r="E13" i="15"/>
  <c r="I61" i="1"/>
  <c r="K32" i="1"/>
  <c r="J32" i="1"/>
  <c r="I32" i="1"/>
  <c r="I33" i="1" s="1"/>
  <c r="I60"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D67" i="22"/>
  <c r="AD68" i="22"/>
  <c r="AD69" i="22"/>
  <c r="AD70" i="22"/>
  <c r="AD71" i="22"/>
  <c r="AD72" i="22"/>
  <c r="AD73" i="22"/>
  <c r="AD74" i="22"/>
  <c r="AD75" i="22"/>
  <c r="AD76" i="22"/>
  <c r="AD77" i="22"/>
  <c r="AD78" i="22"/>
  <c r="AD79" i="22"/>
  <c r="AD80" i="22"/>
  <c r="AD81" i="22"/>
  <c r="AD82" i="22"/>
  <c r="AD83" i="22"/>
  <c r="AD84" i="22"/>
  <c r="AD85"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17"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I33" i="21" l="1"/>
  <c r="I32" i="21"/>
  <c r="E41" i="1"/>
  <c r="E42" i="1"/>
  <c r="E43" i="1"/>
  <c r="E44" i="1"/>
  <c r="E45" i="1"/>
  <c r="E46" i="1"/>
  <c r="E47" i="1"/>
  <c r="E48" i="1"/>
  <c r="E49" i="1"/>
  <c r="E50" i="1"/>
  <c r="M31" i="21" l="1"/>
  <c r="D16"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I32" i="22" l="1"/>
  <c r="I33" i="22"/>
  <c r="AQ66" i="2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F78" i="22"/>
  <c r="V78" i="22"/>
  <c r="AI78" i="22"/>
  <c r="AJ78" i="22" s="1"/>
  <c r="X78" i="22"/>
  <c r="AW78" i="22"/>
  <c r="AC78" i="22"/>
  <c r="AG78" i="22"/>
  <c r="AH78" i="22" s="1"/>
  <c r="W78" i="22"/>
  <c r="AU78" i="22"/>
  <c r="AV78" i="22" s="1"/>
  <c r="AB78" i="22"/>
  <c r="H78" i="22" s="1"/>
  <c r="AN78" i="22" s="1"/>
  <c r="T78" i="22"/>
  <c r="AF82" i="22"/>
  <c r="AI82" i="22"/>
  <c r="AJ82" i="22" s="1"/>
  <c r="W82" i="22"/>
  <c r="AW82" i="22"/>
  <c r="V82" i="22"/>
  <c r="AG82" i="22"/>
  <c r="AH82" i="22" s="1"/>
  <c r="X82" i="22"/>
  <c r="AU82" i="22"/>
  <c r="AV82" i="22" s="1"/>
  <c r="AC82" i="22"/>
  <c r="AB82" i="22"/>
  <c r="T82" i="22"/>
  <c r="H82" i="22"/>
  <c r="AN82" i="22" s="1"/>
  <c r="E71" i="22"/>
  <c r="AU75" i="22"/>
  <c r="AV75" i="22" s="1"/>
  <c r="AB75" i="22"/>
  <c r="T75" i="22"/>
  <c r="X75" i="22"/>
  <c r="AG75" i="22"/>
  <c r="AH75" i="22" s="1"/>
  <c r="W75" i="22"/>
  <c r="AI75" i="22"/>
  <c r="AJ75" i="22" s="1"/>
  <c r="AF75" i="22"/>
  <c r="V75" i="22"/>
  <c r="AW75" i="22"/>
  <c r="AC75" i="22"/>
  <c r="H75" i="22"/>
  <c r="AN75" i="22" s="1"/>
  <c r="AF79" i="22"/>
  <c r="W79" i="22"/>
  <c r="AW79" i="22"/>
  <c r="V79" i="22"/>
  <c r="AU79" i="22"/>
  <c r="AV79" i="22" s="1"/>
  <c r="AC79" i="22"/>
  <c r="AB79" i="22"/>
  <c r="H79" i="22" s="1"/>
  <c r="AN79" i="22" s="1"/>
  <c r="T79" i="22"/>
  <c r="AI79" i="22"/>
  <c r="AJ79" i="22" s="1"/>
  <c r="AG79" i="22"/>
  <c r="AH79" i="22" s="1"/>
  <c r="X79" i="22"/>
  <c r="AG83" i="22"/>
  <c r="AH83" i="22" s="1"/>
  <c r="W83" i="22"/>
  <c r="AF83" i="22"/>
  <c r="V83" i="22"/>
  <c r="AW83" i="22"/>
  <c r="AC83" i="22"/>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I76" i="22"/>
  <c r="AJ76" i="22" s="1"/>
  <c r="AC76" i="22"/>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B71" i="22"/>
  <c r="H71" i="22" s="1"/>
  <c r="AN71" i="22" s="1"/>
  <c r="T71" i="22"/>
  <c r="AU70" i="22"/>
  <c r="AV70" i="22" s="1"/>
  <c r="AC70" i="22"/>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B68" i="22"/>
  <c r="H68" i="22" s="1"/>
  <c r="AN68" i="22" s="1"/>
  <c r="T68" i="22"/>
  <c r="AG13" i="22"/>
  <c r="AB67" i="22"/>
  <c r="H67" i="22" s="1"/>
  <c r="AN67" i="22" s="1"/>
  <c r="AI67" i="22"/>
  <c r="AJ67" i="22" s="1"/>
  <c r="X67" i="22"/>
  <c r="AG67" i="22"/>
  <c r="W67" i="22"/>
  <c r="AW67" i="22"/>
  <c r="AF67" i="22"/>
  <c r="V67" i="22"/>
  <c r="T67" i="22"/>
  <c r="AU67" i="22"/>
  <c r="AV67" i="22" s="1"/>
  <c r="AC67" i="22"/>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C85" i="22"/>
  <c r="AE85" i="22" s="1"/>
  <c r="AC73" i="22"/>
  <c r="AE73" i="22" s="1"/>
  <c r="AC81" i="22"/>
  <c r="AE81" i="22" s="1"/>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69" i="22" s="1"/>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M68" i="22" l="1"/>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a="1"/>
  <c r="E21" i="11" l="1"/>
  <c r="I108" i="21"/>
  <c r="D25" i="11"/>
  <c r="J106" i="22"/>
  <c r="D20" i="11"/>
  <c r="E20" i="11" a="1"/>
  <c r="E25" i="11" a="1"/>
  <c r="E20" i="11" l="1"/>
  <c r="E25" i="11"/>
  <c r="F25" i="11"/>
  <c r="D24" i="11"/>
  <c r="J97" i="22"/>
  <c r="J2" i="22" s="1" a="1"/>
  <c r="J2" i="22" s="1"/>
  <c r="AX88" i="1"/>
  <c r="E88" i="1" s="1"/>
  <c r="E24" i="11" a="1"/>
  <c r="E24" i="11" l="1"/>
  <c r="F24" i="1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I62" i="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J2" i="1" l="1" a="1"/>
  <c r="J2" i="1" s="1"/>
  <c r="L61" i="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a="1"/>
  <c r="E19" i="11" l="1"/>
  <c r="D23" i="11"/>
  <c r="J109" i="1"/>
  <c r="E23" i="11" a="1"/>
  <c r="E23" i="11" l="1"/>
  <c r="F23" i="11"/>
  <c r="J97" i="21"/>
  <c r="J2" i="21" s="1" a="1"/>
  <c r="J2" i="21" s="1"/>
  <c r="D7" i="11" l="1"/>
  <c r="D9" i="11" s="1"/>
  <c r="AZ85" i="22"/>
  <c r="AY85" i="22"/>
  <c r="AZ84" i="22"/>
  <c r="AY84" i="22"/>
  <c r="AZ83" i="22"/>
  <c r="AY83" i="22"/>
  <c r="AZ82" i="22"/>
  <c r="AY82" i="22"/>
  <c r="AZ81" i="22"/>
  <c r="AY81" i="22"/>
  <c r="AZ80" i="22"/>
  <c r="AY80" i="22"/>
  <c r="AZ79" i="22"/>
  <c r="AY79" i="22"/>
  <c r="AZ78" i="22"/>
  <c r="AY78" i="22"/>
  <c r="AZ77" i="22"/>
  <c r="AY77" i="22"/>
  <c r="AZ76" i="22"/>
  <c r="AY76" i="22"/>
  <c r="AZ75" i="22"/>
  <c r="AY75" i="22"/>
  <c r="AZ74" i="22"/>
  <c r="AY74" i="22"/>
  <c r="AZ73" i="22"/>
  <c r="AY73" i="22"/>
  <c r="AZ72" i="22"/>
  <c r="AY72" i="22"/>
  <c r="AZ71" i="22"/>
  <c r="AY71" i="22"/>
  <c r="AZ70" i="22"/>
  <c r="AY70" i="22"/>
  <c r="AZ69" i="22"/>
  <c r="AY69" i="22"/>
  <c r="AZ68" i="22"/>
  <c r="AY68" i="22"/>
  <c r="AZ67" i="22"/>
  <c r="AY67" i="22"/>
  <c r="AZ66" i="22"/>
  <c r="AI58" i="22"/>
  <c r="AI57" i="22"/>
  <c r="AI56" i="22"/>
  <c r="AI55" i="22"/>
  <c r="AI54" i="22"/>
  <c r="AI53" i="22"/>
  <c r="AI52" i="22"/>
  <c r="AI51" i="22"/>
  <c r="AI50" i="22"/>
  <c r="AI49" i="22"/>
  <c r="AI48" i="22"/>
  <c r="AI47" i="22"/>
  <c r="AI46" i="22"/>
  <c r="AI45" i="22"/>
  <c r="AI44" i="22"/>
  <c r="AI43" i="22"/>
  <c r="AI42" i="22"/>
  <c r="AI41" i="22"/>
  <c r="AI40" i="22"/>
  <c r="AK30" i="22"/>
  <c r="AJ30" i="22"/>
  <c r="AK29" i="22"/>
  <c r="AJ29" i="22"/>
  <c r="AK28" i="22"/>
  <c r="AJ28" i="22"/>
  <c r="AK27" i="22"/>
  <c r="AJ27" i="22"/>
  <c r="AK26" i="22"/>
  <c r="AJ26" i="22"/>
  <c r="AK25" i="22"/>
  <c r="AJ25" i="22"/>
  <c r="AK24" i="22"/>
  <c r="AJ24" i="22"/>
  <c r="AK23" i="22"/>
  <c r="AJ23" i="22"/>
  <c r="AK22" i="22"/>
  <c r="AJ22" i="22"/>
  <c r="AK21" i="22"/>
  <c r="AJ21" i="22"/>
  <c r="AK20" i="22"/>
  <c r="AJ20" i="22"/>
  <c r="AK19" i="22"/>
  <c r="AJ19" i="22"/>
  <c r="AK18" i="22"/>
  <c r="AJ18" i="22"/>
  <c r="AK17" i="22"/>
  <c r="AJ17" i="22"/>
  <c r="AK16" i="22"/>
  <c r="AJ16" i="22"/>
  <c r="AK15" i="22"/>
  <c r="AJ15" i="22"/>
  <c r="AK14" i="22"/>
  <c r="AJ14" i="22"/>
  <c r="AK13" i="22"/>
  <c r="AJ13" i="22"/>
  <c r="AK12" i="22"/>
  <c r="AJ12" i="22"/>
  <c r="AK11" i="2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<sst xmlns="http://schemas.openxmlformats.org/spreadsheetml/2006/main" count="3140" uniqueCount="1044">
  <si>
    <t>created by Sam Arthur @ FPCR</t>
  </si>
  <si>
    <t xml:space="preserve">Small Sites Metric 
(The Statutory Biodiversity Metric) </t>
  </si>
  <si>
    <t>Release Date:</t>
  </si>
  <si>
    <t>February 2024</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</si>
  <si>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</si>
  <si>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</si>
  <si>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</si>
  <si>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</si>
  <si>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</si>
  <si>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</si>
  <si>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</si>
  <si>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</si>
  <si>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</si>
  <si>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</si>
  <si>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</si>
  <si>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</si>
  <si>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</si>
  <si>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</si>
  <si>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</si>
  <si>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</si>
  <si>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</si>
  <si>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</si>
  <si>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</si>
  <si>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</si>
  <si>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</si>
  <si>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</si>
  <si>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</si>
  <si>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</si>
  <si>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</si>
  <si>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</si>
  <si>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</si>
  <si>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</si>
  <si>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 Targeted increase in Units if baseline value is zero - agreed with local planning authority</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</si>
  <si>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</si>
  <si>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</si>
  <si>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</si>
  <si>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</si>
  <si>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</si>
  <si>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</si>
  <si>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</si>
  <si>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</si>
  <si>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</si>
  <si>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</si>
  <si>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</si>
  <si>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Designated sites and priority habitats</t>
  </si>
  <si>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</si>
  <si>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</si>
  <si>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</si>
  <si>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</si>
  <si>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</si>
  <si>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22. Site walkover completed?</t>
  </si>
  <si>
    <t>23. Date of site walkover - DD/MM/YY</t>
  </si>
  <si>
    <t>24. Who completed the walkover? 
(Name and job title)</t>
  </si>
  <si>
    <t>Additional details</t>
  </si>
  <si>
    <t>25. Any additional information or notes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</si>
  <si>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</si>
  <si>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</si>
  <si>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</si>
  <si>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</si>
  <si>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</si>
  <si>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</si>
  <si>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</si>
  <si>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</si>
  <si>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</si>
  <si>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</si>
  <si>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</si>
  <si>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</si>
  <si>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</si>
  <si>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</si>
  <si>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</si>
  <si>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</si>
  <si>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</si>
  <si>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</si>
  <si>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</si>
  <si>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</si>
  <si>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</si>
  <si>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</si>
  <si>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</si>
  <si>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</si>
  <si>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</si>
  <si>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</si>
  <si>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</si>
  <si>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</si>
  <si>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</si>
  <si>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</si>
  <si>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</si>
  <si>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</si>
  <si>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</si>
  <si>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</si>
  <si>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</si>
  <si>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</si>
  <si>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</si>
  <si>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</si>
  <si>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</si>
  <si>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</si>
  <si>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</si>
  <si>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</si>
  <si>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</si>
  <si>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</si>
  <si>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</si>
  <si>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</si>
  <si>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</si>
  <si>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</si>
  <si>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</si>
  <si>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</si>
  <si>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</si>
  <si>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</si>
  <si>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</si>
  <si>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</si>
  <si>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</si>
  <si>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</si>
  <si>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</si>
  <si>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</si>
  <si>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</si>
  <si>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</si>
  <si>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</si>
  <si>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</si>
  <si>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</si>
  <si>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</si>
  <si>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</si>
  <si>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</si>
  <si>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</si>
  <si>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</si>
  <si>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</si>
  <si>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</si>
  <si>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</si>
  <si>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</si>
  <si>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</si>
  <si>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</si>
  <si>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</si>
  <si>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</si>
  <si>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</si>
  <si>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</si>
  <si>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</si>
  <si>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</si>
  <si>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</si>
  <si>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</si>
  <si>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</si>
  <si>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</si>
  <si>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</si>
  <si>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</si>
  <si>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</si>
  <si>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</si>
  <si>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</si>
  <si>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</si>
  <si>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</si>
  <si>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</si>
  <si>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</si>
  <si>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</si>
  <si>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</si>
  <si>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</si>
  <si>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</si>
  <si>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</si>
  <si>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</si>
  <si>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</si>
  <si>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</si>
  <si>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</si>
  <si>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</si>
  <si>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</si>
  <si>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</si>
  <si>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</si>
  <si>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</si>
  <si>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</si>
  <si>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</si>
  <si>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</si>
  <si>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</si>
  <si>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</si>
  <si>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</si>
  <si>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</si>
  <si>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</si>
  <si>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</si>
  <si>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</si>
  <si>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</si>
  <si>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</si>
  <si>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</si>
  <si>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</si>
  <si>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</si>
  <si>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</si>
  <si>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</si>
  <si>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</si>
  <si>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</si>
  <si>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</si>
  <si>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</si>
  <si>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</si>
  <si>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</si>
  <si>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</si>
  <si>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</si>
  <si>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</si>
  <si>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</si>
  <si>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</si>
  <si>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</si>
  <si>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</si>
  <si>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</si>
  <si>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</si>
  <si>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</si>
  <si>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</si>
  <si>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</si>
  <si>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</si>
  <si>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</si>
  <si>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</si>
  <si>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</si>
  <si>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</si>
  <si>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</si>
  <si>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</si>
  <si>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</si>
  <si>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</si>
  <si>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</si>
  <si>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</si>
  <si>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</si>
  <si>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</si>
  <si>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</si>
  <si>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</si>
  <si>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</si>
  <si>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</si>
  <si>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</si>
  <si>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</si>
  <si>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</si>
  <si>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</si>
  <si>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</si>
  <si>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</si>
  <si>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</si>
  <si>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</si>
  <si>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</si>
  <si>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</si>
  <si>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</si>
  <si>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</si>
  <si>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</si>
  <si>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</si>
  <si>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</si>
  <si>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</si>
  <si>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</si>
  <si>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</si>
  <si>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</si>
  <si>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</si>
  <si>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</si>
  <si>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</si>
  <si>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</si>
  <si>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</si>
  <si>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</si>
  <si>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</si>
  <si>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</si>
  <si>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</si>
  <si>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</si>
  <si>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</si>
  <si>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</si>
  <si>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</si>
  <si>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</si>
  <si>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</si>
  <si>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</si>
  <si>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</si>
  <si>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</si>
  <si>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</si>
  <si>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</si>
  <si>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</si>
  <si>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</si>
  <si>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</si>
  <si>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</si>
  <si>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</si>
  <si>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</si>
  <si>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</si>
  <si>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</si>
  <si>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</si>
  <si>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</si>
  <si>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</si>
  <si>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</si>
  <si>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</si>
  <si>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</si>
  <si>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</si>
  <si>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</si>
  <si>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</si>
  <si>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</si>
  <si>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</si>
  <si>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</si>
  <si>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</si>
  <si>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</si>
  <si>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</si>
  <si>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</si>
  <si>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</si>
  <si>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</si>
  <si>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</si>
  <si>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</si>
  <si>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</si>
  <si>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</si>
  <si>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</si>
  <si>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</si>
  <si>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</si>
  <si>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</si>
  <si>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</si>
  <si>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</si>
  <si>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</si>
  <si>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</si>
  <si>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</si>
  <si>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</si>
  <si>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</si>
  <si>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</si>
  <si>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</si>
  <si>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</si>
  <si>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</si>
  <si>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</si>
  <si>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</si>
  <si>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</si>
  <si>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</si>
  <si>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</si>
  <si>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</si>
  <si>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</si>
  <si>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</si>
  <si>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</si>
  <si>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</si>
  <si>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</si>
  <si>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</si>
  <si>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</si>
  <si>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</si>
  <si>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</si>
  <si>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</si>
  <si>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</si>
  <si>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</si>
  <si>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</si>
  <si>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</si>
  <si>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</si>
  <si>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</si>
  <si>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</si>
  <si>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</si>
  <si>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</si>
  <si>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</si>
  <si>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</si>
  <si>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</si>
  <si>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</si>
  <si>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</si>
  <si>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</si>
  <si>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</si>
  <si>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</si>
  <si>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</si>
  <si>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</si>
  <si>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</si>
  <si>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</si>
  <si>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</si>
  <si>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</si>
  <si>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</si>
  <si>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</si>
  <si>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</si>
  <si>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</si>
  <si>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</si>
  <si>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</si>
  <si>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</si>
  <si>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</si>
  <si>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</si>
  <si>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</si>
  <si>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</si>
  <si>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</si>
  <si>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</si>
  <si>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</si>
  <si>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</si>
  <si>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</si>
  <si>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</si>
  <si>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</si>
  <si>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</si>
  <si>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</si>
  <si>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</si>
  <si>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</si>
  <si>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</si>
  <si>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</si>
  <si>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</si>
  <si>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</si>
  <si>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</si>
  <si>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</si>
  <si>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</si>
  <si>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</si>
  <si>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</si>
  <si>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</si>
  <si>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</si>
  <si>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</si>
  <si>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</si>
  <si>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</si>
  <si>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</si>
  <si>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</si>
  <si>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</si>
  <si>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</si>
  <si>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</si>
  <si>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</si>
  <si>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</si>
  <si>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</si>
  <si>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</si>
  <si>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</si>
  <si>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</si>
  <si>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</si>
  <si>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</si>
  <si>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</si>
  <si>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</si>
  <si>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</si>
  <si>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</si>
  <si>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</si>
  <si>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</si>
  <si>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</si>
  <si>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</si>
  <si>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</si>
  <si>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</si>
  <si>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</si>
  <si>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</si>
  <si>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</si>
  <si>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</si>
  <si>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</si>
  <si>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</si>
  <si>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</si>
  <si>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</si>
  <si>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</si>
  <si>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</si>
  <si>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</si>
  <si>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</si>
  <si>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</si>
  <si>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</si>
  <si>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</si>
  <si>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</si>
  <si>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</si>
  <si>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</si>
  <si>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</si>
  <si>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</si>
  <si>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</si>
  <si>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</si>
  <si>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</si>
  <si>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</si>
  <si>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</si>
  <si>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</si>
  <si>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</si>
  <si>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</si>
  <si>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</si>
  <si>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</si>
  <si>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</si>
  <si>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</si>
  <si>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</si>
  <si>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</si>
  <si>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</si>
  <si>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</si>
  <si>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</si>
  <si>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</si>
  <si>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</si>
  <si>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</si>
  <si>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</si>
  <si>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</si>
  <si>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</si>
  <si>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</si>
  <si>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</si>
  <si>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</si>
  <si>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</si>
  <si>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</si>
  <si>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</si>
  <si>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</si>
  <si>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</si>
  <si>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</si>
  <si>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</si>
  <si>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</si>
  <si>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</si>
  <si>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</si>
  <si>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</si>
  <si>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</si>
  <si>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</si>
  <si>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</si>
  <si>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</si>
  <si>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</si>
  <si>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</si>
  <si>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</si>
  <si>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</si>
  <si>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</si>
  <si>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</si>
  <si>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</si>
  <si>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</si>
  <si>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</si>
  <si>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</si>
  <si>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</si>
  <si>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</si>
  <si>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</si>
  <si>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</si>
  <si>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</si>
  <si>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</si>
  <si>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</si>
  <si>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</si>
  <si>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</si>
  <si>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</si>
  <si>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</si>
  <si>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</si>
  <si>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</si>
  <si>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</si>
  <si>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</si>
  <si>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</si>
  <si>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</si>
  <si>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</si>
  <si>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</si>
  <si>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</si>
  <si>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</si>
  <si>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</si>
  <si>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</si>
  <si>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</si>
  <si>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</si>
  <si>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</si>
  <si>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Distinctiveness categories</t>
  </si>
  <si>
    <t>Condition categories</t>
  </si>
  <si>
    <t>Temporal multipliers</t>
  </si>
  <si>
    <t>Hedges Distinctiveness categories</t>
  </si>
  <si>
    <t>Barnsley Metropolitan Borough Council</t>
  </si>
  <si>
    <t>Removal/variation of conditions</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</si>
  <si>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</si>
  <si>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</si>
  <si>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</si>
  <si>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</si>
  <si>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</si>
  <si>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</si>
  <si>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</si>
  <si>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</si>
  <si>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</si>
  <si>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</si>
  <si>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</si>
  <si>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</si>
  <si>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</si>
  <si>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</si>
  <si>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</si>
  <si>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</si>
  <si>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</si>
  <si>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Very Large</t>
  </si>
  <si>
    <t>Bath and North East Somerset Council</t>
  </si>
  <si>
    <t>Other</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</si>
  <si>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</si>
  <si>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</si>
  <si>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</si>
  <si>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</si>
  <si>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</si>
  <si>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</si>
  <si>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</si>
  <si>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</si>
  <si>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</si>
  <si>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</si>
  <si>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</si>
  <si>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</si>
  <si>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</si>
  <si>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</si>
  <si>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</si>
  <si>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</si>
  <si>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</si>
  <si>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</si>
  <si>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</si>
  <si>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</si>
  <si>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</si>
  <si>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</si>
  <si>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</si>
  <si>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</si>
  <si>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</si>
  <si>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</si>
  <si>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</si>
  <si>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</si>
  <si>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</si>
  <si>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</si>
  <si>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</si>
  <si>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</si>
  <si>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</si>
  <si>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</si>
  <si>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</si>
  <si>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</si>
  <si>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</si>
  <si>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</si>
  <si>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</si>
  <si>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</si>
  <si>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</si>
  <si>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</si>
  <si>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</si>
  <si>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</si>
  <si>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</si>
  <si>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</si>
  <si>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</si>
  <si>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</si>
  <si>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</si>
  <si>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</si>
  <si>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</si>
  <si>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</si>
  <si>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</si>
  <si>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</si>
  <si>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</si>
  <si>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</si>
  <si>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</si>
  <si>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</si>
  <si>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</si>
  <si>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</si>
  <si>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</si>
  <si>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</si>
  <si>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</si>
  <si>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</si>
  <si>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</si>
  <si>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</si>
  <si>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</si>
  <si>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</si>
  <si>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</si>
  <si>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</si>
  <si>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</si>
  <si>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</si>
  <si>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</si>
  <si>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</si>
  <si>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</si>
  <si>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</si>
  <si>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</si>
  <si>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</si>
  <si>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</si>
  <si>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</si>
  <si>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</si>
  <si>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</si>
  <si>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</si>
  <si>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</si>
  <si>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</si>
  <si>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</si>
  <si>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</si>
  <si>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</si>
  <si>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</si>
  <si>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</si>
  <si>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</si>
  <si>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</si>
  <si>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</si>
  <si>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</si>
  <si>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</si>
  <si>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</si>
  <si>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</si>
  <si>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</si>
  <si>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</si>
  <si>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</si>
  <si>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</si>
  <si>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</si>
  <si>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</si>
  <si>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</si>
  <si>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</si>
  <si>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</si>
  <si>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</si>
  <si>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</si>
  <si>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</si>
  <si>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</si>
  <si>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</si>
  <si>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</si>
  <si>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</si>
  <si>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</si>
  <si>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</si>
  <si>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</si>
  <si>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</si>
  <si>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</si>
  <si>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</si>
  <si>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</si>
  <si>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</si>
  <si>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</si>
  <si>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</si>
  <si>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</si>
  <si>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</si>
  <si>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</si>
  <si>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</si>
  <si>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</si>
  <si>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</si>
  <si>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</si>
  <si>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</si>
  <si>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</si>
  <si>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</si>
  <si>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</si>
  <si>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</si>
  <si>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</si>
  <si>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</si>
  <si>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</si>
  <si>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</si>
  <si>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</si>
  <si>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</si>
  <si>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</si>
  <si>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</si>
  <si>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</si>
  <si>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</si>
  <si>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</si>
  <si>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</si>
  <si>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</si>
  <si>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</si>
  <si>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</si>
  <si>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</si>
  <si>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</si>
  <si>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</si>
  <si>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</si>
  <si>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</si>
  <si>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</si>
  <si>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</si>
  <si>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</si>
  <si>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</si>
  <si>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</si>
  <si>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</si>
  <si>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</si>
  <si>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</si>
  <si>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</si>
  <si>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</si>
  <si>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</si>
  <si>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</si>
  <si>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</si>
  <si>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</si>
  <si>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</si>
  <si>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</si>
  <si>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</si>
  <si>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</si>
  <si>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</si>
  <si>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</si>
  <si>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</si>
  <si>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</si>
  <si>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</si>
  <si>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</si>
  <si>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</si>
  <si>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</si>
  <si>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</si>
  <si>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</si>
  <si>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</si>
  <si>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</si>
  <si>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</si>
  <si>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</si>
  <si>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</si>
  <si>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</si>
  <si>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</si>
  <si>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</si>
  <si>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</si>
  <si>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</si>
  <si>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</si>
  <si>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</si>
  <si>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</si>
  <si>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</si>
  <si>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</si>
  <si>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</si>
  <si>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</si>
  <si>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</si>
  <si>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</si>
  <si>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</si>
  <si>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</si>
  <si>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</si>
  <si>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</si>
  <si>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</si>
  <si>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</si>
  <si>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</si>
  <si>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</si>
  <si>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</si>
  <si>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</si>
  <si>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</si>
  <si>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</si>
  <si>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</si>
  <si>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</si>
  <si>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</si>
  <si>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</si>
  <si>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</si>
  <si>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</si>
  <si>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</si>
  <si>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</si>
  <si>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</si>
  <si>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</si>
  <si>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</si>
  <si>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</si>
  <si>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</si>
  <si>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</si>
  <si>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</si>
  <si>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</si>
  <si>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</si>
  <si>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</si>
  <si>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</si>
  <si>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</si>
  <si>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</si>
  <si>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</si>
  <si>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</si>
  <si>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</si>
  <si>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</si>
  <si>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</si>
  <si>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</si>
  <si>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</si>
  <si>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</si>
  <si>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</si>
  <si>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</si>
  <si>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</si>
  <si>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</si>
  <si>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</si>
  <si>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</si>
  <si>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</si>
  <si>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</si>
  <si>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</si>
  <si>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</si>
  <si>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</si>
  <si>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</si>
  <si>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</si>
  <si>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</si>
  <si>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</si>
  <si>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</si>
  <si>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</si>
  <si>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</si>
  <si>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</si>
  <si>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</si>
  <si>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</si>
  <si>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</si>
  <si>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</si>
  <si>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</si>
  <si>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</si>
  <si>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</si>
  <si>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</si>
  <si>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</si>
  <si>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</si>
  <si>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</si>
  <si>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</si>
  <si>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</si>
  <si>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</si>
  <si>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</si>
  <si>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</si>
  <si>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</si>
  <si>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</si>
  <si>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</si>
  <si>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</si>
  <si>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</si>
  <si>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</si>
  <si>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</si>
  <si>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</si>
  <si>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</si>
  <si>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</si>
  <si>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</si>
  <si>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</si>
  <si>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</si>
  <si>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</si>
  <si>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</si>
  <si>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</si>
  <si>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</si>
  <si>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</si>
  <si>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</si>
  <si>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</si>
  <si>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</si>
  <si>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</si>
  <si>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</si>
  <si>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</si>
  <si>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</si>
  <si>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</si>
  <si>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</si>
  <si>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</si>
  <si>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</si>
  <si>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</si>
  <si>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</si>
  <si>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</si>
  <si>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</si>
  <si>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</si>
  <si>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</si>
  <si>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</si>
  <si>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</si>
  <si>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</si>
  <si>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</si>
  <si>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</si>
  <si>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</si>
  <si>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</si>
  <si>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</si>
  <si>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</si>
  <si>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</si>
  <si>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</si>
  <si>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</si>
  <si>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</si>
  <si>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</si>
  <si>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</si>
  <si>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</si>
  <si>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</si>
  <si>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</si>
  <si>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</si>
  <si>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</si>
  <si>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</si>
  <si>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</si>
  <si>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</si>
  <si>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</si>
  <si>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</si>
  <si>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</si>
  <si>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</si>
  <si>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</si>
  <si>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</si>
  <si>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</si>
  <si>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</si>
  <si>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</si>
  <si>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</si>
  <si>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</si>
  <si>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</si>
  <si>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</si>
  <si>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</si>
  <si>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</si>
  <si>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</si>
  <si>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</si>
  <si>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</si>
  <si>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</si>
  <si>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</si>
  <si>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</si>
  <si>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</si>
  <si>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</si>
  <si>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</si>
  <si>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</si>
  <si>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</si>
  <si>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</si>
  <si>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</si>
  <si>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</si>
  <si>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</si>
  <si>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</si>
  <si>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</si>
  <si>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</si>
  <si>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</si>
  <si>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</si>
  <si>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</si>
  <si>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</si>
  <si>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</si>
  <si>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</si>
  <si>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</si>
  <si>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</si>
  <si>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</si>
  <si>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</si>
  <si>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</si>
  <si>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</si>
  <si>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</si>
  <si>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</si>
  <si>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</si>
  <si>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</si>
  <si>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</si>
  <si>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</si>
  <si>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</si>
  <si>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</si>
  <si>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</si>
  <si>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</si>
  <si>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</si>
  <si>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</si>
  <si>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</si>
  <si>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</si>
  <si>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</si>
  <si>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</si>
  <si>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</si>
  <si>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</si>
  <si>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</si>
  <si>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</si>
  <si>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</si>
  <si>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</si>
  <si>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</si>
  <si>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</si>
  <si>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</si>
  <si>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</si>
  <si>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</si>
  <si>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</si>
  <si>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</si>
  <si>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</si>
  <si>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</si>
  <si>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</si>
  <si>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</si>
  <si>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</si>
  <si>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</si>
  <si>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</si>
  <si>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</si>
  <si>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</si>
  <si>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</si>
  <si>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</si>
  <si>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</si>
  <si>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</si>
  <si>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</si>
  <si>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</si>
  <si>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</si>
  <si>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</si>
  <si>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</si>
  <si>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</si>
  <si>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</si>
  <si>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</si>
  <si>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</si>
  <si>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</si>
  <si>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</si>
  <si>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</si>
  <si>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</si>
  <si>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</si>
  <si>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</si>
  <si>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</si>
  <si>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</si>
  <si>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</si>
  <si>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</si>
  <si>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</si>
  <si>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</si>
  <si>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</si>
  <si>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</si>
  <si>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</si>
  <si>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</si>
  <si>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</si>
  <si>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</si>
  <si>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</si>
  <si>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</si>
  <si>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</si>
  <si>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</si>
  <si>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</si>
  <si>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</si>
  <si>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</si>
  <si>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</si>
  <si>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</si>
  <si>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</si>
  <si>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</si>
  <si>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</si>
  <si>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</si>
  <si>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</si>
  <si>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</si>
  <si>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</si>
  <si>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</si>
  <si>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</si>
  <si>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</si>
  <si>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</si>
  <si>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</si>
  <si>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</si>
  <si>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</si>
  <si>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</si>
  <si>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</si>
  <si>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</si>
  <si>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</si>
  <si>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</si>
  <si>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</si>
  <si>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</si>
  <si>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</si>
  <si>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</si>
  <si>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</si>
  <si>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</si>
  <si>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</si>
  <si>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</si>
  <si>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</si>
  <si>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</si>
  <si>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</si>
  <si>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</si>
  <si>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</si>
  <si>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</si>
  <si>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</si>
  <si>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</si>
  <si>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</si>
  <si>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</si>
  <si>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</si>
  <si>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</si>
  <si>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</si>
  <si>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</si>
  <si>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</si>
  <si>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</si>
  <si>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</si>
  <si>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</si>
  <si>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</si>
  <si>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</si>
  <si>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</si>
  <si>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</si>
  <si>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</si>
  <si>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</si>
  <si>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</si>
  <si>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</si>
  <si>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</si>
  <si>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</si>
  <si>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</si>
  <si>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</si>
  <si>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</si>
  <si>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Mr Cagri Albayrak</t>
  </si>
  <si>
    <t>Lantern Courtyard, The Barn, The Street, Bramley, RG26 5DE</t>
  </si>
  <si>
    <t>PP-12829588</t>
  </si>
  <si>
    <t>Mrs Seyma Dilber Duman, Architectural Designer(Agent)</t>
  </si>
  <si>
    <t>2024-02-026-001</t>
  </si>
  <si>
    <t>No</t>
  </si>
  <si>
    <t>Walkover completed by competent person</t>
  </si>
  <si>
    <t>Mrs Seyma Dilber Duman, Architectural Designer (Agent)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</si>
</sst>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5">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56">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0" fontId="0" fillId="7" borderId="2" xfId="0" applyFill="1" applyBorder="1" applyAlignment="1">
      <alignment horizontal="center" vertical="center" wrapText="1"/>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0" fillId="21" borderId="20" xfId="0" applyFill="1" applyBorder="1" applyAlignment="1" applyProtection="1">
      <alignment horizontal="center" vertical="center" wrapText="1"/>
      <protection locked="0"/>
    </xf>
    <xf numFmtId="0" fontId="0" fillId="21" borderId="25" xfId="0"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21" borderId="76" xfId="0" applyFill="1"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26" borderId="28" xfId="0" applyFill="1" applyBorder="1" applyAlignment="1" applyProtection="1">
      <alignment horizontal="center" vertical="center" wrapText="1"/>
      <protection locked="0"/>
    </xf>
    <xf numFmtId="0" fontId="0" fillId="26" borderId="20" xfId="0" applyFill="1" applyBorder="1" applyAlignment="1" applyProtection="1">
      <alignment horizontal="center" vertical="center" wrapText="1"/>
      <protection locked="0"/>
    </xf>
    <xf numFmtId="0" fontId="0" fillId="26" borderId="15" xfId="0" applyFill="1" applyBorder="1" applyAlignment="1" applyProtection="1">
      <alignment horizontal="center" vertical="center" wrapText="1"/>
      <protection locked="0"/>
    </xf>
    <xf numFmtId="0" fontId="0" fillId="26" borderId="11"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cellStyle name="Comma 2 2" xfId="5"/>
    <cellStyle name="Comma 2 2 2" xfId="17"/>
    <cellStyle name="Comma 2 2 2 2" xfId="28"/>
    <cellStyle name="Comma 2 2 3" xfId="23"/>
    <cellStyle name="Comma 2 3" xfId="6"/>
    <cellStyle name="Comma 3" xfId="7"/>
    <cellStyle name="Comma 3 2" xfId="8"/>
    <cellStyle name="Comma 3 2 2" xfId="19"/>
    <cellStyle name="Comma 3 2 2 2" xfId="30"/>
    <cellStyle name="Comma 3 2 3" xfId="25"/>
    <cellStyle name="Comma 3 3" xfId="18"/>
    <cellStyle name="Comma 3 3 2" xfId="29"/>
    <cellStyle name="Comma 3 4" xfId="24"/>
    <cellStyle name="Comma 4" xfId="9"/>
    <cellStyle name="Comma 4 2" xfId="20"/>
    <cellStyle name="Comma 4 2 2" xfId="31"/>
    <cellStyle name="Comma 4 3" xfId="26"/>
    <cellStyle name="Comma 5" xfId="3"/>
    <cellStyle name="Comma 5 2" xfId="16"/>
    <cellStyle name="Comma 5 2 2" xfId="27"/>
    <cellStyle name="Comma 5 3" xfId="22"/>
    <cellStyle name="Normal" xfId="0" builtinId="0"/>
    <cellStyle name="Normal 2" xfId="1"/>
    <cellStyle name="Normal 2 2" xfId="10"/>
    <cellStyle name="Normal 3" xfId="11"/>
    <cellStyle name="Normal 4" xfId="12"/>
    <cellStyle name="Normal 5" xfId="13"/>
    <cellStyle name="Normal 5 2" xfId="14"/>
    <cellStyle name="Normal 6" xfId="15"/>
    <cellStyle name="Normal 7" xfId="2"/>
    <cellStyle name="Nötr" xfId="21" builtinId="28"/>
    <cellStyle name="Yüzde" xfId="32" builtinId="5"/>
  </cellStyles>
  <dxfs count="413">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F2EAD9"/>
      <color rgb="FFFFFF99"/>
      <color rgb="FFFFCCFF"/>
      <color rgb="FF305496"/>
      <color rgb="FFBDD7EE"/>
      <color rgb="FF005E5C"/>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0</c:v>
                </c:pt>
                <c:pt idx="1">
                  <c:v>0.04</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314325</xdr:colOff>
      <xdr:row>8</xdr:row>
      <xdr:rowOff>85725</xdr:rowOff>
    </xdr:from>
    <xdr:to>
      <xdr:col>3</xdr:col>
      <xdr:colOff>5089525</xdr:colOff>
      <xdr:row>8</xdr:row>
      <xdr:rowOff>3667125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6200" y="2619375"/>
          <a:ext cx="4775200" cy="3581400"/>
        </a:xfrm>
        <a:prstGeom prst="rect">
          <a:avLst/>
        </a:prstGeom>
      </xdr:spPr>
    </xdr:pic>
    <xdr:clientData/>
  </xdr:twoCellAnchor>
  <xdr:twoCellAnchor editAs="oneCell">
    <xdr:from>
      <xdr:col>4</xdr:col>
      <xdr:colOff>981076</xdr:colOff>
      <xdr:row>8</xdr:row>
      <xdr:rowOff>43402</xdr:rowOff>
    </xdr:from>
    <xdr:to>
      <xdr:col>4</xdr:col>
      <xdr:colOff>5276850</xdr:colOff>
      <xdr:row>8</xdr:row>
      <xdr:rowOff>3832103</xdr:rowOff>
    </xdr:to>
    <xdr:pic>
      <xdr:nvPicPr>
        <xdr:cNvPr id="3" name="Resi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06101" y="2577052"/>
          <a:ext cx="4295774" cy="37887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id="1" name="Table1" displayName="Table1" ref="A1:A11" totalsRowShown="0" headerRowDxfId="73" headerRowBorderDxfId="72" tableBorderDxfId="71" totalsRowBorderDxfId="70">
  <autoFilter ref="A1:A11"/>
  <tableColumns count="1">
    <tableColumn id="1" name="Broadhabitattype" dataDxfId="69"/>
  </tableColumns>
  <tableStyleInfo name="TableStyleLight9" showFirstColumn="0" showLastColumn="0" showRowStripes="1" showColumnStripes="0"/>
</table>
</file>

<file path=xl/tables/table10.xml><?xml version="1.0" encoding="utf-8"?>
<table xmlns="http://schemas.openxmlformats.org/spreadsheetml/2006/main" id="10" name="Table10" displayName="Table10" ref="S1:S5" totalsRowShown="0" headerRowDxfId="29" headerRowBorderDxfId="28" tableBorderDxfId="27" totalsRowBorderDxfId="26">
  <autoFilter ref="S1:S5"/>
  <tableColumns count="1">
    <tableColumn id="1" name="Woodlandandforest" dataDxfId="25"/>
  </tableColumns>
  <tableStyleInfo name="TableStyleLight9" showFirstColumn="0" showLastColumn="0" showRowStripes="1" showColumnStripes="0"/>
</table>
</file>

<file path=xl/tables/table11.xml><?xml version="1.0" encoding="utf-8"?>
<table xmlns="http://schemas.openxmlformats.org/spreadsheetml/2006/main" id="11" name="Table11" displayName="Table11" ref="U1:U10" totalsRowShown="0" headerRowDxfId="24" headerRowBorderDxfId="23" tableBorderDxfId="22" totalsRowBorderDxfId="21">
  <autoFilter ref="U1:U10"/>
  <tableColumns count="1">
    <tableColumn id="1"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id="12" name="Table12" displayName="Table12" ref="W1:W5" totalsRowShown="0" headerRowDxfId="19" headerRowBorderDxfId="18" tableBorderDxfId="17" totalsRowBorderDxfId="16">
  <autoFilter ref="W1:W5"/>
  <tableColumns count="1">
    <tableColumn id="1" name="Lineoftrees" dataDxfId="15"/>
  </tableColumns>
  <tableStyleInfo name="TableStyleLight9" showFirstColumn="0" showLastColumn="0" showRowStripes="1" showColumnStripes="0"/>
</table>
</file>

<file path=xl/tables/table13.xml><?xml version="1.0" encoding="utf-8"?>
<table xmlns="http://schemas.openxmlformats.org/spreadsheetml/2006/main" id="13" name="Table13" displayName="Table13" ref="Y1:Y11" totalsRowShown="0" headerRowDxfId="14" headerRowBorderDxfId="13" tableBorderDxfId="12" totalsRowBorderDxfId="11">
  <autoFilter ref="Y1:Y11"/>
  <tableColumns count="1">
    <tableColumn id="1" name="Watercourses" dataDxfId="10"/>
  </tableColumns>
  <tableStyleInfo name="TableStyleLight9" showFirstColumn="0" showLastColumn="0" showRowStripes="1" showColumnStripes="0"/>
</table>
</file>

<file path=xl/tables/table14.xml><?xml version="1.0" encoding="utf-8"?>
<table xmlns="http://schemas.openxmlformats.org/spreadsheetml/2006/main" id="15" name="Table15" displayName="Table15" ref="AA1:AA2" totalsRowShown="0" headerRowDxfId="9" headerRowBorderDxfId="8" tableBorderDxfId="7" totalsRowBorderDxfId="6">
  <autoFilter ref="AA1:AA2"/>
  <tableColumns count="1">
    <tableColumn id="1" name="Coastalsaltmarsh" dataDxfId="5"/>
  </tableColumns>
  <tableStyleInfo name="TableStyleLight8" showFirstColumn="0" showLastColumn="0" showRowStripes="1" showColumnStripes="0"/>
</table>
</file>

<file path=xl/tables/table15.xml><?xml version="1.0" encoding="utf-8"?>
<table xmlns="http://schemas.openxmlformats.org/spreadsheetml/2006/main" id="14" name="Table1515" displayName="Table1515" ref="AC1:AC3" totalsRowShown="0" headerRowDxfId="4" headerRowBorderDxfId="3" tableBorderDxfId="2" totalsRowBorderDxfId="1">
  <autoFilter ref="AC1:AC3"/>
  <tableColumns count="1">
    <tableColumn id="1" name="Individualtrees" dataDxfId="0"/>
  </tableColumns>
  <tableStyleInfo name="TableStyleLight8" showFirstColumn="0" showLastColumn="0" showRowStripes="1" showColumnStripes="0"/>
</table>
</file>

<file path=xl/tables/table2.xml><?xml version="1.0" encoding="utf-8"?>
<table xmlns="http://schemas.openxmlformats.org/spreadsheetml/2006/main" id="2" name="Table2" displayName="Table2" ref="C1:C11" totalsRowShown="0" headerRowDxfId="68" headerRowBorderDxfId="67" tableBorderDxfId="66" totalsRowBorderDxfId="65">
  <autoFilter ref="C1:C11"/>
  <tableColumns count="1">
    <tableColumn id="1" name="Cropland" dataDxfId="64"/>
  </tableColumns>
  <tableStyleInfo name="TableStyleLight9" showFirstColumn="0" showLastColumn="0" showRowStripes="1" showColumnStripes="0"/>
</table>
</file>

<file path=xl/tables/table3.xml><?xml version="1.0" encoding="utf-8"?>
<table xmlns="http://schemas.openxmlformats.org/spreadsheetml/2006/main" id="3" name="Table3" displayName="Table3" ref="E1:E6" totalsRowShown="0" headerRowDxfId="63" headerRowBorderDxfId="62" tableBorderDxfId="61" totalsRowBorderDxfId="60">
  <autoFilter ref="E1:E6"/>
  <tableColumns count="1">
    <tableColumn id="1" name="Grassland" dataDxfId="59"/>
  </tableColumns>
  <tableStyleInfo name="TableStyleLight9" showFirstColumn="0" showLastColumn="0" showRowStripes="1" showColumnStripes="0"/>
</table>
</file>

<file path=xl/tables/table4.xml><?xml version="1.0" encoding="utf-8"?>
<table xmlns="http://schemas.openxmlformats.org/spreadsheetml/2006/main" id="4" name="Table4" displayName="Table4" ref="G1:G10" totalsRowShown="0" headerRowDxfId="58" headerRowBorderDxfId="57" tableBorderDxfId="56" totalsRowBorderDxfId="55">
  <autoFilter ref="G1:G10"/>
  <tableColumns count="1">
    <tableColumn id="1" name="Heathlandandshrub" dataDxfId="54"/>
  </tableColumns>
  <tableStyleInfo name="TableStyleLight9" showFirstColumn="0" showLastColumn="0" showRowStripes="1" showColumnStripes="0"/>
</table>
</file>

<file path=xl/tables/table5.xml><?xml version="1.0" encoding="utf-8"?>
<table xmlns="http://schemas.openxmlformats.org/spreadsheetml/2006/main" id="5" name="Table5" displayName="Table5" ref="I1:I4" totalsRowShown="0" headerRowDxfId="53" headerRowBorderDxfId="52" tableBorderDxfId="51" totalsRowBorderDxfId="50">
  <autoFilter ref="I1:I4"/>
  <tableColumns count="1">
    <tableColumn id="1"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id="6" name="Table6" displayName="Table6" ref="K1:K10" totalsRowShown="0" headerRowDxfId="48" headerRowBorderDxfId="47" tableBorderDxfId="46" totalsRowBorderDxfId="45">
  <autoFilter ref="K1:K10"/>
  <tableColumns count="1">
    <tableColumn id="1" name="Intertidalsediment" dataDxfId="44"/>
  </tableColumns>
  <tableStyleInfo name="TableStyleLight9" showFirstColumn="0" showLastColumn="0" showRowStripes="1" showColumnStripes="0"/>
</table>
</file>

<file path=xl/tables/table7.xml><?xml version="1.0" encoding="utf-8"?>
<table xmlns="http://schemas.openxmlformats.org/spreadsheetml/2006/main" id="7" name="Table7" displayName="Table7" ref="M1:M4" totalsRowShown="0" headerRowDxfId="43" headerRowBorderDxfId="42" tableBorderDxfId="41" totalsRowBorderDxfId="40">
  <autoFilter ref="M1:M4"/>
  <tableColumns count="1">
    <tableColumn id="1" name="Lakes" dataDxfId="39"/>
  </tableColumns>
  <tableStyleInfo name="TableStyleLight9" showFirstColumn="0" showLastColumn="0" showRowStripes="1" showColumnStripes="0"/>
</table>
</file>

<file path=xl/tables/table8.xml><?xml version="1.0" encoding="utf-8"?>
<table xmlns="http://schemas.openxmlformats.org/spreadsheetml/2006/main" id="8" name="Table8" displayName="Table8" ref="O1:O4" totalsRowShown="0" headerRowDxfId="38" headerRowBorderDxfId="37" tableBorderDxfId="36" totalsRowBorderDxfId="35">
  <autoFilter ref="O1:O4"/>
  <tableColumns count="1">
    <tableColumn id="1" name="Sparselyvegetatedland"/>
  </tableColumns>
  <tableStyleInfo name="TableStyleLight9" showFirstColumn="0" showLastColumn="0" showRowStripes="1" showColumnStripes="0"/>
</table>
</file>

<file path=xl/tables/table9.xml><?xml version="1.0" encoding="utf-8"?>
<table xmlns="http://schemas.openxmlformats.org/spreadsheetml/2006/main" id="9" name="Table9" displayName="Table9" ref="Q1:Q21" totalsRowShown="0" headerRowDxfId="34" headerRowBorderDxfId="33" tableBorderDxfId="32" totalsRowBorderDxfId="31">
  <autoFilter ref="Q1:Q21"/>
  <tableColumns count="1">
    <tableColumn id="1" name="Urban" dataDxfId="3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AD130"/>
  <sheetViews>
    <sheetView showRowColHeaders="0" topLeftCell="A9" zoomScale="80" zoomScaleNormal="80" workbookViewId="0">
      <selection activeCell="H35" sqref="H35"/>
    </sheetView>
  </sheetViews>
  <sheetFormatPr defaultColWidth="0" defaultRowHeight="14.4" zeroHeight="1"/>
  <cols>
    <col min="1" max="1" width="3.5546875" customWidth="1"/>
    <col min="2" max="6" width="8.77734375" customWidth="1"/>
    <col min="7" max="7" width="11.77734375" customWidth="1"/>
    <col min="8" max="8" width="8.77734375" customWidth="1"/>
    <col min="9" max="9" width="12.77734375" customWidth="1"/>
    <col min="10" max="10" width="14.77734375" customWidth="1"/>
    <col min="11" max="18" width="8.77734375" customWidth="1"/>
    <col min="19" max="19" width="3.77734375" customWidth="1"/>
    <col min="20" max="30" width="8.77734375" hidden="1" customWidth="1"/>
    <col min="31" max="16384" width="8.77734375" hidden="1"/>
  </cols>
  <sheetData>
    <row r="1" spans="1:30">
      <c r="A1" s="25"/>
      <c r="B1" s="25"/>
      <c r="C1" s="25"/>
      <c r="D1" s="562"/>
      <c r="E1" s="562"/>
      <c r="F1" s="562"/>
      <c r="G1" s="562"/>
      <c r="H1" s="562"/>
      <c r="I1" s="562"/>
      <c r="J1" s="562"/>
      <c r="K1" s="25"/>
      <c r="L1" s="25"/>
      <c r="M1" s="25"/>
      <c r="N1" s="25"/>
      <c r="O1" s="25"/>
      <c r="P1" s="25"/>
      <c r="Q1" s="25"/>
      <c r="R1" s="25"/>
      <c r="S1" s="25"/>
      <c r="T1" s="25"/>
      <c r="U1" s="25"/>
      <c r="V1" s="25"/>
      <c r="W1" s="25"/>
      <c r="X1" s="25"/>
      <c r="Y1" s="25"/>
      <c r="Z1" s="25"/>
      <c r="AA1" s="25"/>
      <c r="AB1" s="25"/>
      <c r="AC1" s="25"/>
      <c r="AD1" s="25"/>
    </row>
    <row r="2" spans="1:30">
      <c r="A2" s="25"/>
      <c r="B2" s="25"/>
      <c r="C2" s="25"/>
      <c r="D2" s="562"/>
      <c r="E2" s="562"/>
      <c r="F2" s="562"/>
      <c r="G2" s="562"/>
      <c r="H2" s="562"/>
      <c r="I2" s="562"/>
      <c r="J2" s="562"/>
      <c r="K2" s="25"/>
      <c r="L2" s="25"/>
      <c r="M2" s="25"/>
      <c r="N2" s="25"/>
      <c r="O2" s="25"/>
      <c r="P2" s="25"/>
      <c r="Q2" s="25"/>
      <c r="R2" s="25"/>
      <c r="S2" s="25"/>
      <c r="T2" s="25"/>
      <c r="U2" s="25"/>
      <c r="V2" s="25"/>
      <c r="W2" s="25"/>
      <c r="X2" s="25"/>
      <c r="Y2" s="25"/>
      <c r="Z2" s="25"/>
      <c r="AA2" s="25"/>
      <c r="AB2" s="25"/>
      <c r="AC2" s="25"/>
      <c r="AD2" s="25"/>
    </row>
    <row r="3" spans="1:30">
      <c r="A3" s="25"/>
      <c r="B3" s="25"/>
      <c r="C3" s="25"/>
      <c r="D3" s="562"/>
      <c r="E3" s="562"/>
      <c r="F3" s="562"/>
      <c r="G3" s="562"/>
      <c r="H3" s="562"/>
      <c r="I3" s="562"/>
      <c r="J3" s="562"/>
      <c r="K3" s="25"/>
      <c r="L3" s="25"/>
      <c r="M3" s="25"/>
      <c r="N3" s="25"/>
      <c r="O3" s="25"/>
      <c r="P3" s="25"/>
      <c r="Q3" s="25"/>
      <c r="R3" s="25"/>
      <c r="S3" s="25"/>
      <c r="T3" s="25"/>
      <c r="U3" s="25"/>
      <c r="V3" s="25"/>
      <c r="W3" s="25"/>
      <c r="X3" s="25"/>
      <c r="Y3" s="25"/>
      <c r="Z3" s="25"/>
      <c r="AA3" s="25"/>
      <c r="AB3" s="25"/>
      <c r="AC3" s="25"/>
      <c r="AD3" s="25"/>
    </row>
    <row r="4" spans="1:30">
      <c r="A4" s="25"/>
      <c r="B4" s="25"/>
      <c r="C4" s="25"/>
      <c r="D4" s="562"/>
      <c r="E4" s="562"/>
      <c r="F4" s="562"/>
      <c r="G4" s="562"/>
      <c r="H4" s="562"/>
      <c r="I4" s="562"/>
      <c r="J4" s="562"/>
      <c r="K4" s="25"/>
      <c r="L4" s="25"/>
      <c r="M4" s="25"/>
      <c r="N4" s="25"/>
      <c r="O4" s="25"/>
      <c r="P4" s="25"/>
      <c r="Q4" s="25"/>
      <c r="R4" s="25"/>
      <c r="S4" s="25"/>
      <c r="T4" s="25"/>
      <c r="U4" s="25"/>
      <c r="V4" s="25"/>
      <c r="W4" s="25"/>
      <c r="X4" s="25"/>
      <c r="Y4" s="25"/>
      <c r="Z4" s="25"/>
      <c r="AA4" s="25"/>
      <c r="AB4" s="25"/>
      <c r="AC4" s="25"/>
      <c r="AD4" s="25"/>
    </row>
    <row r="5" spans="1:30">
      <c r="A5" s="25"/>
      <c r="B5" s="25"/>
      <c r="C5" s="25"/>
      <c r="D5" s="562"/>
      <c r="E5" s="562"/>
      <c r="F5" s="562"/>
      <c r="G5" s="562"/>
      <c r="H5" s="562"/>
      <c r="I5" s="562"/>
      <c r="J5" s="562"/>
      <c r="K5" s="25"/>
      <c r="L5" s="25"/>
      <c r="M5" s="25"/>
      <c r="N5" s="25"/>
      <c r="O5" s="25"/>
      <c r="P5" s="25"/>
      <c r="Q5" s="25"/>
      <c r="R5" s="25"/>
      <c r="S5" s="25"/>
      <c r="T5" s="25"/>
      <c r="U5" s="25"/>
      <c r="V5" s="25"/>
      <c r="W5" s="25"/>
      <c r="X5" s="25"/>
      <c r="Y5" s="25"/>
      <c r="Z5" s="25"/>
      <c r="AA5" s="25"/>
      <c r="AB5" s="25"/>
      <c r="AC5" s="25"/>
      <c r="AD5" s="25"/>
    </row>
    <row r="6" spans="1:30">
      <c r="A6" s="161" t="s">
        <v>0</v>
      </c>
      <c r="B6" s="564" t="s">
        <v>1</v>
      </c>
      <c r="C6" s="565"/>
      <c r="D6" s="565"/>
      <c r="E6" s="565"/>
      <c r="F6" s="565"/>
      <c r="G6" s="565"/>
      <c r="H6" s="565"/>
      <c r="I6" s="565"/>
      <c r="J6" s="565"/>
      <c r="K6" s="25"/>
      <c r="L6" s="25"/>
      <c r="M6" s="25"/>
      <c r="N6" s="25"/>
      <c r="O6" s="25"/>
      <c r="P6" s="25"/>
      <c r="Q6" s="25"/>
      <c r="R6" s="25"/>
      <c r="S6" s="25"/>
      <c r="T6" s="25"/>
      <c r="U6" s="25"/>
      <c r="V6" s="25"/>
      <c r="W6" s="25"/>
      <c r="X6" s="25"/>
      <c r="Y6" s="25"/>
      <c r="Z6" s="25"/>
      <c r="AA6" s="25"/>
      <c r="AB6" s="25"/>
      <c r="AC6" s="25"/>
      <c r="AD6" s="25"/>
    </row>
    <row r="7" spans="1:30">
      <c r="A7" s="25"/>
      <c r="B7" s="565"/>
      <c r="C7" s="565"/>
      <c r="D7" s="565"/>
      <c r="E7" s="565"/>
      <c r="F7" s="565"/>
      <c r="G7" s="565"/>
      <c r="H7" s="565"/>
      <c r="I7" s="565"/>
      <c r="J7" s="565"/>
      <c r="K7" s="25"/>
      <c r="L7" s="25"/>
      <c r="M7" s="25"/>
      <c r="N7" s="25"/>
      <c r="O7" s="25"/>
      <c r="P7" s="25"/>
      <c r="Q7" s="25"/>
      <c r="R7" s="25"/>
      <c r="S7" s="25"/>
      <c r="T7" s="25"/>
      <c r="U7" s="25"/>
      <c r="V7" s="25"/>
      <c r="W7" s="25"/>
      <c r="X7" s="25"/>
      <c r="Y7" s="25"/>
      <c r="Z7" s="25"/>
      <c r="AA7" s="25"/>
      <c r="AB7" s="25"/>
      <c r="AC7" s="25"/>
      <c r="AD7" s="25"/>
    </row>
    <row r="8" spans="1:30" ht="28.5" customHeight="1">
      <c r="A8" s="25"/>
      <c r="B8" s="565"/>
      <c r="C8" s="565"/>
      <c r="D8" s="565"/>
      <c r="E8" s="565"/>
      <c r="F8" s="565"/>
      <c r="G8" s="565"/>
      <c r="H8" s="565"/>
      <c r="I8" s="565"/>
      <c r="J8" s="565"/>
      <c r="K8" s="25"/>
      <c r="L8" s="25"/>
      <c r="M8" s="25"/>
      <c r="N8" s="25"/>
      <c r="O8" s="25"/>
      <c r="P8" s="25"/>
      <c r="Q8" s="25"/>
      <c r="R8" s="25"/>
      <c r="S8" s="25"/>
      <c r="T8" s="25"/>
      <c r="U8" s="25"/>
      <c r="V8" s="25"/>
      <c r="W8" s="25"/>
      <c r="X8" s="25"/>
      <c r="Y8" s="25"/>
      <c r="Z8" s="25"/>
      <c r="AA8" s="25"/>
      <c r="AB8" s="25"/>
      <c r="AC8" s="25"/>
      <c r="AD8" s="25"/>
    </row>
    <row r="9" spans="1:30" ht="14.55" customHeight="1">
      <c r="A9" s="25"/>
      <c r="B9" s="566"/>
      <c r="C9" s="566"/>
      <c r="D9" s="566"/>
      <c r="E9" s="566"/>
      <c r="F9" s="566"/>
      <c r="G9" s="566"/>
      <c r="H9" s="566"/>
      <c r="I9" s="566"/>
      <c r="J9" s="566"/>
      <c r="K9" s="25"/>
      <c r="L9" s="25"/>
      <c r="M9" s="25"/>
      <c r="N9" s="25"/>
      <c r="O9" s="25"/>
      <c r="P9" s="25"/>
      <c r="Q9" s="25"/>
      <c r="R9" s="25"/>
      <c r="S9" s="25"/>
      <c r="T9" s="25"/>
      <c r="U9" s="25"/>
      <c r="V9" s="25"/>
      <c r="W9" s="25"/>
      <c r="X9" s="25"/>
      <c r="Y9" s="25"/>
      <c r="Z9" s="25"/>
      <c r="AA9" s="25"/>
      <c r="AB9" s="25"/>
      <c r="AC9" s="25"/>
      <c r="AD9" s="25"/>
    </row>
    <row r="10" spans="1:30" ht="20.55" customHeight="1">
      <c r="A10" s="25"/>
      <c r="B10" s="566"/>
      <c r="C10" s="566"/>
      <c r="D10" s="566"/>
      <c r="E10" s="566"/>
      <c r="F10" s="566"/>
      <c r="G10" s="566"/>
      <c r="H10" s="566"/>
      <c r="I10" s="566"/>
      <c r="J10" s="566"/>
      <c r="K10" s="25"/>
      <c r="L10" s="25"/>
      <c r="M10" s="25"/>
      <c r="N10" s="25"/>
      <c r="O10" s="25"/>
      <c r="P10" s="25"/>
      <c r="Q10" s="25"/>
      <c r="R10" s="25"/>
      <c r="S10" s="25"/>
      <c r="T10" s="25"/>
      <c r="U10" s="25"/>
      <c r="V10" s="25"/>
      <c r="W10" s="25"/>
      <c r="X10" s="25"/>
      <c r="Y10" s="25"/>
      <c r="Z10" s="25"/>
      <c r="AA10" s="25"/>
      <c r="AB10" s="25"/>
      <c r="AC10" s="25"/>
      <c r="AD10" s="25"/>
    </row>
    <row r="11" spans="1:30">
      <c r="A11" s="25"/>
      <c r="B11" s="567" t="s">
        <v>2</v>
      </c>
      <c r="C11" s="567"/>
      <c r="D11" s="567"/>
      <c r="E11" s="567"/>
      <c r="F11" s="559" t="s">
        <v>3</v>
      </c>
      <c r="G11" s="559"/>
      <c r="H11" s="559"/>
      <c r="I11" s="559"/>
      <c r="J11" s="559"/>
      <c r="K11" s="25"/>
      <c r="L11" s="25"/>
      <c r="M11" s="25"/>
      <c r="N11" s="25"/>
      <c r="O11" s="25"/>
      <c r="P11" s="25"/>
      <c r="Q11" s="25"/>
      <c r="R11" s="25"/>
      <c r="S11" s="25"/>
      <c r="T11" s="25"/>
      <c r="U11" s="25"/>
      <c r="V11" s="25"/>
      <c r="W11" s="25"/>
      <c r="X11" s="25"/>
      <c r="Y11" s="25"/>
      <c r="Z11" s="25"/>
      <c r="AA11" s="25"/>
      <c r="AB11" s="25"/>
      <c r="AC11" s="25"/>
      <c r="AD11" s="25"/>
    </row>
    <row r="12" spans="1:30">
      <c r="A12" s="25"/>
      <c r="B12" s="560"/>
      <c r="C12" s="560"/>
      <c r="D12" s="560"/>
      <c r="E12" s="560"/>
      <c r="F12" s="560"/>
      <c r="G12" s="560"/>
      <c r="H12" s="560"/>
      <c r="I12" s="560"/>
      <c r="J12" s="560"/>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55" customHeight="1">
      <c r="A14" s="25"/>
      <c r="B14" s="561"/>
      <c r="C14" s="568"/>
      <c r="D14" s="568"/>
      <c r="E14" s="568"/>
      <c r="F14" s="568"/>
      <c r="G14" s="568"/>
      <c r="H14" s="568"/>
      <c r="I14" s="568"/>
      <c r="J14" s="568"/>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61"/>
      <c r="C15" s="568"/>
      <c r="D15" s="568"/>
      <c r="E15" s="568"/>
      <c r="F15" s="568"/>
      <c r="G15" s="568"/>
      <c r="H15" s="568"/>
      <c r="I15" s="568"/>
      <c r="J15" s="568"/>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63" t="s">
        <v>4</v>
      </c>
      <c r="C17" s="563"/>
      <c r="D17" s="563"/>
      <c r="E17" s="563"/>
      <c r="F17" s="563"/>
      <c r="G17" s="563"/>
      <c r="H17" s="563"/>
      <c r="I17" s="25"/>
      <c r="J17" s="25"/>
      <c r="K17" s="25"/>
      <c r="L17" s="25"/>
      <c r="M17" s="25"/>
      <c r="N17" s="25"/>
      <c r="O17" s="25"/>
      <c r="P17" s="25"/>
      <c r="Q17" s="25"/>
      <c r="R17" s="25"/>
      <c r="S17" s="25"/>
      <c r="T17" s="25"/>
      <c r="U17" s="25"/>
      <c r="V17" s="25"/>
      <c r="W17" s="25"/>
      <c r="X17" s="25"/>
      <c r="Y17" s="25"/>
      <c r="Z17" s="25"/>
      <c r="AA17" s="25"/>
      <c r="AB17" s="25"/>
      <c r="AC17" s="25"/>
      <c r="AD17" s="25"/>
    </row>
    <row r="18" spans="1:30" ht="1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55" customHeight="1">
      <c r="A19" s="25"/>
      <c r="B19" s="569"/>
      <c r="C19" s="570"/>
      <c r="D19" s="573" t="s">
        <v>5</v>
      </c>
      <c r="E19" s="574"/>
      <c r="F19" s="574"/>
      <c r="G19" s="574"/>
      <c r="H19" s="57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71"/>
      <c r="C20" s="572"/>
      <c r="D20" s="576"/>
      <c r="E20" s="577"/>
      <c r="F20" s="577"/>
      <c r="G20" s="577"/>
      <c r="H20" s="578"/>
      <c r="I20" s="25"/>
      <c r="J20" s="25"/>
      <c r="K20" s="25"/>
      <c r="L20" s="25"/>
      <c r="M20" s="25"/>
      <c r="N20" s="25"/>
      <c r="O20" s="25"/>
      <c r="P20" s="25"/>
      <c r="Q20" s="25"/>
      <c r="R20" s="25"/>
      <c r="S20" s="25"/>
      <c r="T20" s="25"/>
      <c r="U20" s="25"/>
      <c r="V20" s="25"/>
      <c r="W20" s="25"/>
      <c r="X20" s="25"/>
      <c r="Y20" s="25"/>
      <c r="Z20" s="25"/>
      <c r="AA20" s="25"/>
      <c r="AB20" s="25"/>
      <c r="AC20" s="25"/>
      <c r="AD20" s="25"/>
    </row>
    <row r="21" spans="1:30" ht="14.55" customHeight="1">
      <c r="A21" s="25"/>
      <c r="B21" s="593"/>
      <c r="C21" s="594"/>
      <c r="D21" s="597" t="s">
        <v>6</v>
      </c>
      <c r="E21" s="598"/>
      <c r="F21" s="598"/>
      <c r="G21" s="598"/>
      <c r="H21" s="599"/>
      <c r="I21" s="25"/>
      <c r="J21" s="25"/>
      <c r="K21" s="25"/>
      <c r="L21" s="25"/>
      <c r="M21" s="25"/>
      <c r="N21" s="25"/>
      <c r="O21" s="25"/>
      <c r="P21" s="25"/>
      <c r="Q21" s="25"/>
      <c r="R21" s="25"/>
      <c r="S21" s="25"/>
      <c r="T21" s="25"/>
      <c r="U21" s="25"/>
      <c r="V21" s="25"/>
      <c r="W21" s="25"/>
      <c r="X21" s="25"/>
      <c r="Y21" s="25"/>
      <c r="Z21" s="25"/>
      <c r="AA21" s="25"/>
      <c r="AB21" s="25"/>
      <c r="AC21" s="25"/>
      <c r="AD21" s="25"/>
    </row>
    <row r="22" spans="1:30" ht="14.55" customHeight="1">
      <c r="A22" s="25"/>
      <c r="B22" s="595"/>
      <c r="C22" s="596"/>
      <c r="D22" s="576"/>
      <c r="E22" s="577"/>
      <c r="F22" s="577"/>
      <c r="G22" s="577"/>
      <c r="H22" s="578"/>
      <c r="I22" s="25"/>
      <c r="J22" s="25"/>
      <c r="K22" s="25"/>
      <c r="L22" s="25"/>
      <c r="M22" s="25"/>
      <c r="N22" s="25"/>
      <c r="O22" s="25"/>
      <c r="P22" s="25"/>
      <c r="Q22" s="25"/>
      <c r="R22" s="25"/>
      <c r="S22" s="25"/>
      <c r="T22" s="25"/>
      <c r="U22" s="25"/>
      <c r="V22" s="25"/>
      <c r="W22" s="25"/>
      <c r="X22" s="25"/>
      <c r="Y22" s="25"/>
      <c r="Z22" s="25"/>
      <c r="AA22" s="25"/>
      <c r="AB22" s="25"/>
      <c r="AC22" s="25"/>
      <c r="AD22" s="25"/>
    </row>
    <row r="23" spans="1:30" ht="14.55" customHeight="1">
      <c r="A23" s="25"/>
      <c r="B23" s="583"/>
      <c r="C23" s="584"/>
      <c r="D23" s="587" t="s">
        <v>7</v>
      </c>
      <c r="E23" s="588"/>
      <c r="F23" s="588"/>
      <c r="G23" s="588"/>
      <c r="H23" s="589"/>
      <c r="I23" s="25"/>
      <c r="J23" s="25"/>
      <c r="K23" s="25"/>
      <c r="L23" s="25"/>
      <c r="M23" s="25"/>
      <c r="N23" s="25"/>
      <c r="O23" s="25"/>
      <c r="P23" s="25"/>
      <c r="Q23" s="25"/>
      <c r="R23" s="25"/>
      <c r="S23" s="25"/>
      <c r="T23" s="25"/>
      <c r="U23" s="25"/>
      <c r="V23" s="25"/>
      <c r="W23" s="25"/>
      <c r="X23" s="25"/>
      <c r="Y23" s="25"/>
      <c r="Z23" s="25"/>
      <c r="AA23" s="25"/>
      <c r="AB23" s="25"/>
      <c r="AC23" s="25"/>
      <c r="AD23" s="25"/>
    </row>
    <row r="24" spans="1:30" ht="14.55" customHeight="1">
      <c r="A24" s="25"/>
      <c r="B24" s="585"/>
      <c r="C24" s="586"/>
      <c r="D24" s="590"/>
      <c r="E24" s="591"/>
      <c r="F24" s="591"/>
      <c r="G24" s="591"/>
      <c r="H24" s="592"/>
      <c r="I24" s="25"/>
      <c r="J24" s="25"/>
      <c r="K24" s="25"/>
      <c r="L24" s="25"/>
      <c r="M24" s="25"/>
      <c r="N24" s="25"/>
      <c r="O24" s="25"/>
      <c r="P24" s="25"/>
      <c r="Q24" s="25"/>
      <c r="R24" s="25"/>
      <c r="S24" s="25"/>
      <c r="T24" s="25"/>
      <c r="U24" s="25"/>
      <c r="V24" s="25"/>
      <c r="W24" s="25"/>
      <c r="X24" s="25"/>
      <c r="Y24" s="25"/>
      <c r="Z24" s="25"/>
      <c r="AA24" s="25"/>
      <c r="AB24" s="25"/>
      <c r="AC24" s="25"/>
      <c r="AD24" s="25"/>
    </row>
    <row r="25" spans="1:30" ht="28.05" customHeight="1">
      <c r="A25" s="25"/>
      <c r="B25" s="395"/>
      <c r="C25" s="396"/>
      <c r="D25" s="606" t="s">
        <v>8</v>
      </c>
      <c r="E25" s="607"/>
      <c r="F25" s="607"/>
      <c r="G25" s="607"/>
      <c r="H25" s="60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97"/>
      <c r="C26" s="398"/>
      <c r="D26" s="606" t="s">
        <v>9</v>
      </c>
      <c r="E26" s="607"/>
      <c r="F26" s="607"/>
      <c r="G26" s="607"/>
      <c r="H26" s="60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04" t="s">
        <v>10</v>
      </c>
      <c r="C27" s="605"/>
      <c r="D27" s="606" t="s">
        <v>11</v>
      </c>
      <c r="E27" s="607"/>
      <c r="F27" s="607"/>
      <c r="G27" s="607"/>
      <c r="H27" s="60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79" t="s">
        <v>12</v>
      </c>
      <c r="C28" s="580"/>
      <c r="D28" s="581" t="s">
        <v>13</v>
      </c>
      <c r="E28" s="581"/>
      <c r="F28" s="581"/>
      <c r="G28" s="581"/>
      <c r="H28" s="582"/>
      <c r="I28" s="25"/>
      <c r="J28" s="558" t="s">
        <v>14</v>
      </c>
      <c r="K28" s="558"/>
      <c r="L28" s="558"/>
      <c r="M28" s="558"/>
      <c r="N28" s="558"/>
      <c r="O28" s="558"/>
      <c r="P28" s="558"/>
      <c r="Q28" s="558"/>
      <c r="R28" s="558"/>
      <c r="S28" s="25"/>
      <c r="T28" s="25"/>
      <c r="U28" s="25"/>
      <c r="V28" s="25"/>
      <c r="W28" s="25"/>
      <c r="X28" s="25"/>
      <c r="Y28" s="25"/>
      <c r="Z28" s="25"/>
      <c r="AA28" s="25"/>
      <c r="AB28" s="25"/>
      <c r="AC28" s="25"/>
      <c r="AD28" s="25"/>
    </row>
    <row r="29" spans="1:30" ht="24" customHeight="1" thickBot="1">
      <c r="A29" s="25"/>
      <c r="B29" s="600"/>
      <c r="C29" s="601"/>
      <c r="D29" s="602" t="s">
        <v>15</v>
      </c>
      <c r="E29" s="602"/>
      <c r="F29" s="602"/>
      <c r="G29" s="602"/>
      <c r="H29" s="60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sheetData>
  <sheetProtection algorithmName="SHA-512" hashValue="oLu810SgcOW+js07T9cPHKQs7haq9ho7ATD0Kt5ABqV3BEWlJGYnMTFk4KqMtaq+0f/Zm/FFugQ9vnDL9iN7vQ==" saltValue="djOfSC1hdIPXg3yfvxUt9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5E5C"/>
  </sheetPr>
  <dimension ref="A1:XEZ136"/>
  <sheetViews>
    <sheetView zoomScale="80" zoomScaleNormal="80" workbookViewId="0">
      <pane xSplit="2" ySplit="5" topLeftCell="C105" activePane="bottomRight" state="frozen"/>
      <selection pane="topRight" activeCell="C1" sqref="C1"/>
      <selection pane="bottomLeft" activeCell="A6" sqref="A6"/>
      <selection pane="bottomRight"/>
    </sheetView>
  </sheetViews>
  <sheetFormatPr defaultColWidth="9.21875" defaultRowHeight="14.4" zeroHeight="1"/>
  <cols>
    <col min="1" max="1" width="8.77734375" customWidth="1"/>
    <col min="2" max="2" width="79.21875" customWidth="1"/>
    <col min="3" max="3" width="24.21875" customWidth="1"/>
    <col min="4" max="4" width="31.21875" customWidth="1"/>
    <col min="5" max="5" width="114.5546875" customWidth="1"/>
    <col min="6" max="6" width="35.77734375" customWidth="1"/>
    <col min="7" max="11" width="17.77734375" customWidth="1"/>
    <col min="12" max="13" width="41.21875" customWidth="1"/>
    <col min="14" max="14" width="96" customWidth="1"/>
    <col min="15" max="15" width="9.21875" customWidth="1"/>
    <col min="16" max="19" width="9.21875" hidden="1" customWidth="1"/>
    <col min="20" max="16380" width="14.44140625" hidden="1" customWidth="1"/>
    <col min="16381" max="16383" width="14.44140625" style="25" customWidth="1"/>
    <col min="16384" max="16384" width="9.21875" style="25"/>
  </cols>
  <sheetData>
    <row r="1" spans="1:20">
      <c r="A1" s="25"/>
      <c r="B1" s="1010" t="s">
        <v>381</v>
      </c>
      <c r="C1" s="1011"/>
      <c r="D1" s="1011"/>
      <c r="E1" s="1011"/>
      <c r="F1" s="1011"/>
      <c r="G1" s="1011"/>
      <c r="H1" s="1011"/>
      <c r="I1" s="1011"/>
      <c r="J1" s="1011"/>
      <c r="K1" s="1011"/>
      <c r="L1" s="1011"/>
      <c r="M1" s="1011"/>
      <c r="N1" s="1012"/>
      <c r="O1" s="25"/>
      <c r="P1" s="25"/>
      <c r="Q1" s="25"/>
      <c r="R1" s="25"/>
      <c r="S1" s="25"/>
      <c r="T1" s="25"/>
    </row>
    <row r="2" spans="1:20" ht="15" thickBot="1">
      <c r="A2" s="25"/>
      <c r="B2" s="1013"/>
      <c r="C2" s="1014"/>
      <c r="D2" s="1014"/>
      <c r="E2" s="1014"/>
      <c r="F2" s="1014"/>
      <c r="G2" s="1014"/>
      <c r="H2" s="1014"/>
      <c r="I2" s="1014"/>
      <c r="J2" s="1014"/>
      <c r="K2" s="1014"/>
      <c r="L2" s="1014"/>
      <c r="M2" s="1014"/>
      <c r="N2" s="1015"/>
      <c r="O2" s="25"/>
      <c r="P2" s="25"/>
      <c r="Q2" s="25"/>
      <c r="R2" s="25"/>
      <c r="S2" s="25"/>
      <c r="T2" s="25"/>
    </row>
    <row r="3" spans="1:20" ht="18">
      <c r="A3" s="25"/>
      <c r="B3" s="1022" t="s">
        <v>267</v>
      </c>
      <c r="C3" s="1019" t="s">
        <v>382</v>
      </c>
      <c r="D3" s="1020"/>
      <c r="E3" s="1020"/>
      <c r="F3" s="1021"/>
      <c r="G3" s="1035" t="s">
        <v>383</v>
      </c>
      <c r="H3" s="1036"/>
      <c r="I3" s="1036"/>
      <c r="J3" s="1036"/>
      <c r="K3" s="1036"/>
      <c r="L3" s="1036"/>
      <c r="M3" s="1037"/>
      <c r="N3" s="1016" t="s">
        <v>384</v>
      </c>
      <c r="O3" s="25"/>
      <c r="P3" s="25"/>
      <c r="Q3" s="25"/>
      <c r="R3" s="25"/>
      <c r="S3" s="25"/>
      <c r="T3" s="25"/>
    </row>
    <row r="4" spans="1:20" ht="98.1" customHeight="1">
      <c r="A4" s="25"/>
      <c r="B4" s="1023"/>
      <c r="C4" s="1033" t="s">
        <v>385</v>
      </c>
      <c r="D4" s="1031" t="s">
        <v>386</v>
      </c>
      <c r="E4" s="1031" t="s">
        <v>387</v>
      </c>
      <c r="F4" s="1029" t="s">
        <v>388</v>
      </c>
      <c r="G4" s="63" t="s">
        <v>389</v>
      </c>
      <c r="H4" s="224" t="s">
        <v>390</v>
      </c>
      <c r="I4" s="224" t="s">
        <v>391</v>
      </c>
      <c r="J4" s="224" t="s">
        <v>392</v>
      </c>
      <c r="K4" s="224" t="s">
        <v>393</v>
      </c>
      <c r="L4" s="1027" t="s">
        <v>394</v>
      </c>
      <c r="M4" s="1025" t="s">
        <v>395</v>
      </c>
      <c r="N4" s="1017"/>
      <c r="O4" s="25"/>
      <c r="P4" s="25"/>
      <c r="Q4" s="25"/>
      <c r="R4" s="25"/>
      <c r="S4" s="25"/>
      <c r="T4" s="25"/>
    </row>
    <row r="5" spans="1:20" ht="65.55" customHeight="1" thickBot="1">
      <c r="A5" s="25"/>
      <c r="B5" s="1024"/>
      <c r="C5" s="1034"/>
      <c r="D5" s="1032"/>
      <c r="E5" s="1032"/>
      <c r="F5" s="1030"/>
      <c r="G5" s="227" t="s">
        <v>123</v>
      </c>
      <c r="H5" s="226" t="s">
        <v>396</v>
      </c>
      <c r="I5" s="226" t="s">
        <v>397</v>
      </c>
      <c r="J5" s="226" t="s">
        <v>398</v>
      </c>
      <c r="K5" s="226" t="s">
        <v>399</v>
      </c>
      <c r="L5" s="1028"/>
      <c r="M5" s="1026"/>
      <c r="N5" s="1018"/>
      <c r="O5" s="25"/>
      <c r="P5" s="25"/>
      <c r="Q5" s="25"/>
      <c r="R5" s="25"/>
      <c r="S5" s="25"/>
      <c r="T5" s="25"/>
    </row>
    <row r="6" spans="1:20">
      <c r="A6" s="25"/>
      <c r="B6" s="341" t="s">
        <v>305</v>
      </c>
      <c r="C6" s="339" t="s">
        <v>398</v>
      </c>
      <c r="D6" s="243" t="s">
        <v>398</v>
      </c>
      <c r="E6" s="344" t="s">
        <v>400</v>
      </c>
      <c r="F6" s="342" t="s">
        <v>398</v>
      </c>
      <c r="G6" s="228" t="s">
        <v>401</v>
      </c>
      <c r="H6" s="225" t="s">
        <v>401</v>
      </c>
      <c r="I6" s="225" t="s">
        <v>401</v>
      </c>
      <c r="J6" s="225">
        <v>1</v>
      </c>
      <c r="K6" s="7" t="s">
        <v>401</v>
      </c>
      <c r="L6" s="225" t="s">
        <v>401</v>
      </c>
      <c r="M6" s="229">
        <v>1</v>
      </c>
      <c r="N6" s="238" t="s">
        <v>400</v>
      </c>
      <c r="O6" s="25"/>
      <c r="P6" s="25"/>
      <c r="Q6" s="25"/>
      <c r="R6" s="25"/>
      <c r="S6" s="25"/>
      <c r="T6" s="25"/>
    </row>
    <row r="7" spans="1:20">
      <c r="A7" s="25"/>
      <c r="B7" s="235" t="s">
        <v>307</v>
      </c>
      <c r="C7" s="340" t="s">
        <v>398</v>
      </c>
      <c r="D7" s="9" t="s">
        <v>398</v>
      </c>
      <c r="E7" s="237" t="s">
        <v>400</v>
      </c>
      <c r="F7" s="342" t="s">
        <v>398</v>
      </c>
      <c r="G7" s="230" t="s">
        <v>401</v>
      </c>
      <c r="H7" s="7" t="s">
        <v>401</v>
      </c>
      <c r="I7" s="7" t="s">
        <v>401</v>
      </c>
      <c r="J7" s="7">
        <v>1</v>
      </c>
      <c r="K7" s="7" t="s">
        <v>401</v>
      </c>
      <c r="L7" s="7" t="s">
        <v>401</v>
      </c>
      <c r="M7" s="231">
        <v>1</v>
      </c>
      <c r="N7" s="239" t="s">
        <v>400</v>
      </c>
      <c r="O7" s="25"/>
      <c r="P7" s="25"/>
      <c r="Q7" s="25"/>
      <c r="R7" s="25"/>
      <c r="S7" s="25"/>
      <c r="T7" s="25"/>
    </row>
    <row r="8" spans="1:20">
      <c r="A8" s="25"/>
      <c r="B8" s="235" t="s">
        <v>308</v>
      </c>
      <c r="C8" s="340" t="s">
        <v>398</v>
      </c>
      <c r="D8" s="9" t="s">
        <v>398</v>
      </c>
      <c r="E8" s="237" t="s">
        <v>400</v>
      </c>
      <c r="F8" s="342" t="s">
        <v>398</v>
      </c>
      <c r="G8" s="230" t="s">
        <v>401</v>
      </c>
      <c r="H8" s="7" t="s">
        <v>401</v>
      </c>
      <c r="I8" s="7" t="s">
        <v>401</v>
      </c>
      <c r="J8" s="7">
        <v>1</v>
      </c>
      <c r="K8" s="7" t="s">
        <v>401</v>
      </c>
      <c r="L8" s="7" t="s">
        <v>401</v>
      </c>
      <c r="M8" s="231">
        <v>1</v>
      </c>
      <c r="N8" s="239" t="s">
        <v>400</v>
      </c>
      <c r="O8" s="25"/>
      <c r="P8" s="25"/>
      <c r="Q8" s="25"/>
      <c r="R8" s="25"/>
      <c r="S8" s="25"/>
      <c r="T8" s="25"/>
    </row>
    <row r="9" spans="1:20">
      <c r="A9" s="25"/>
      <c r="B9" s="235" t="s">
        <v>309</v>
      </c>
      <c r="C9" s="340" t="s">
        <v>398</v>
      </c>
      <c r="D9" s="9" t="s">
        <v>398</v>
      </c>
      <c r="E9" s="237" t="s">
        <v>400</v>
      </c>
      <c r="F9" s="342" t="s">
        <v>398</v>
      </c>
      <c r="G9" s="230" t="s">
        <v>401</v>
      </c>
      <c r="H9" s="7" t="s">
        <v>401</v>
      </c>
      <c r="I9" s="7" t="s">
        <v>401</v>
      </c>
      <c r="J9" s="7">
        <v>1</v>
      </c>
      <c r="K9" s="7" t="s">
        <v>401</v>
      </c>
      <c r="L9" s="7" t="s">
        <v>401</v>
      </c>
      <c r="M9" s="231">
        <v>1</v>
      </c>
      <c r="N9" s="239" t="s">
        <v>400</v>
      </c>
      <c r="O9" s="25"/>
      <c r="P9" s="25"/>
      <c r="Q9" s="25"/>
      <c r="R9" s="25"/>
      <c r="S9" s="25"/>
      <c r="T9" s="25"/>
    </row>
    <row r="10" spans="1:20" ht="28.8">
      <c r="A10" s="25"/>
      <c r="B10" s="235" t="s">
        <v>310</v>
      </c>
      <c r="C10" s="340" t="s">
        <v>398</v>
      </c>
      <c r="D10" s="9" t="s">
        <v>398</v>
      </c>
      <c r="E10" s="237" t="s">
        <v>402</v>
      </c>
      <c r="F10" s="242" t="s">
        <v>401</v>
      </c>
      <c r="G10" s="230" t="s">
        <v>401</v>
      </c>
      <c r="H10" s="7" t="s">
        <v>401</v>
      </c>
      <c r="I10" s="7" t="s">
        <v>401</v>
      </c>
      <c r="J10" s="7">
        <v>1</v>
      </c>
      <c r="K10" s="7" t="s">
        <v>401</v>
      </c>
      <c r="L10" s="7" t="s">
        <v>401</v>
      </c>
      <c r="M10" s="231" t="s">
        <v>401</v>
      </c>
      <c r="N10" s="239" t="s">
        <v>403</v>
      </c>
      <c r="O10" s="25"/>
      <c r="P10" s="25"/>
      <c r="Q10" s="25"/>
      <c r="R10" s="25"/>
      <c r="S10" s="25"/>
      <c r="T10" s="25"/>
    </row>
    <row r="11" spans="1:20">
      <c r="A11" s="25"/>
      <c r="B11" s="235" t="s">
        <v>312</v>
      </c>
      <c r="C11" s="340" t="s">
        <v>398</v>
      </c>
      <c r="D11" s="9" t="s">
        <v>398</v>
      </c>
      <c r="E11" s="237" t="s">
        <v>400</v>
      </c>
      <c r="F11" s="342" t="s">
        <v>398</v>
      </c>
      <c r="G11" s="230" t="s">
        <v>401</v>
      </c>
      <c r="H11" s="7" t="s">
        <v>401</v>
      </c>
      <c r="I11" s="7" t="s">
        <v>401</v>
      </c>
      <c r="J11" s="7">
        <v>1</v>
      </c>
      <c r="K11" s="7" t="s">
        <v>401</v>
      </c>
      <c r="L11" s="7" t="s">
        <v>401</v>
      </c>
      <c r="M11" s="231" t="s">
        <v>401</v>
      </c>
      <c r="N11" s="239" t="s">
        <v>400</v>
      </c>
      <c r="O11" s="25"/>
      <c r="P11" s="25"/>
      <c r="Q11" s="25"/>
      <c r="R11" s="25"/>
      <c r="S11" s="25"/>
      <c r="T11" s="25"/>
    </row>
    <row r="12" spans="1:20" ht="28.8">
      <c r="A12" s="25"/>
      <c r="B12" s="235" t="s">
        <v>313</v>
      </c>
      <c r="C12" s="340" t="s">
        <v>398</v>
      </c>
      <c r="D12" s="9" t="s">
        <v>398</v>
      </c>
      <c r="E12" s="237" t="s">
        <v>402</v>
      </c>
      <c r="F12" s="242" t="s">
        <v>401</v>
      </c>
      <c r="G12" s="230" t="s">
        <v>401</v>
      </c>
      <c r="H12" s="7" t="s">
        <v>401</v>
      </c>
      <c r="I12" s="7" t="s">
        <v>401</v>
      </c>
      <c r="J12" s="7">
        <v>1</v>
      </c>
      <c r="K12" s="7" t="s">
        <v>401</v>
      </c>
      <c r="L12" s="7" t="s">
        <v>401</v>
      </c>
      <c r="M12" s="231" t="s">
        <v>401</v>
      </c>
      <c r="N12" s="239" t="s">
        <v>403</v>
      </c>
      <c r="O12" s="25"/>
      <c r="P12" s="25"/>
      <c r="Q12" s="25"/>
      <c r="R12" s="25"/>
      <c r="S12" s="25"/>
      <c r="T12" s="25"/>
    </row>
    <row r="13" spans="1:20" ht="28.8">
      <c r="A13" s="25"/>
      <c r="B13" s="235" t="s">
        <v>314</v>
      </c>
      <c r="C13" s="340" t="s">
        <v>398</v>
      </c>
      <c r="D13" s="9" t="s">
        <v>398</v>
      </c>
      <c r="E13" s="237" t="s">
        <v>402</v>
      </c>
      <c r="F13" s="242" t="s">
        <v>401</v>
      </c>
      <c r="G13" s="230" t="s">
        <v>401</v>
      </c>
      <c r="H13" s="7" t="s">
        <v>401</v>
      </c>
      <c r="I13" s="7" t="s">
        <v>401</v>
      </c>
      <c r="J13" s="7">
        <v>1</v>
      </c>
      <c r="K13" s="7" t="s">
        <v>401</v>
      </c>
      <c r="L13" s="7" t="s">
        <v>401</v>
      </c>
      <c r="M13" s="231" t="s">
        <v>401</v>
      </c>
      <c r="N13" s="239" t="s">
        <v>403</v>
      </c>
      <c r="O13" s="25"/>
      <c r="P13" s="25"/>
      <c r="Q13" s="25"/>
      <c r="R13" s="25"/>
      <c r="S13" s="25"/>
      <c r="T13" s="25"/>
    </row>
    <row r="14" spans="1:20" ht="28.8">
      <c r="A14" s="25"/>
      <c r="B14" s="235" t="s">
        <v>315</v>
      </c>
      <c r="C14" s="340" t="s">
        <v>398</v>
      </c>
      <c r="D14" s="9" t="s">
        <v>398</v>
      </c>
      <c r="E14" s="237" t="s">
        <v>402</v>
      </c>
      <c r="F14" s="242" t="s">
        <v>401</v>
      </c>
      <c r="G14" s="230" t="s">
        <v>401</v>
      </c>
      <c r="H14" s="7" t="s">
        <v>401</v>
      </c>
      <c r="I14" s="7" t="s">
        <v>401</v>
      </c>
      <c r="J14" s="7">
        <v>1</v>
      </c>
      <c r="K14" s="7" t="s">
        <v>401</v>
      </c>
      <c r="L14" s="7" t="s">
        <v>401</v>
      </c>
      <c r="M14" s="231" t="s">
        <v>401</v>
      </c>
      <c r="N14" s="239" t="s">
        <v>403</v>
      </c>
      <c r="O14" s="25"/>
      <c r="P14" s="25"/>
      <c r="Q14" s="25"/>
      <c r="R14" s="25"/>
      <c r="S14" s="25"/>
      <c r="T14" s="25"/>
    </row>
    <row r="15" spans="1:20">
      <c r="A15" s="25"/>
      <c r="B15" s="235" t="s">
        <v>316</v>
      </c>
      <c r="C15" s="340" t="s">
        <v>398</v>
      </c>
      <c r="D15" s="9" t="s">
        <v>398</v>
      </c>
      <c r="E15" s="237" t="s">
        <v>404</v>
      </c>
      <c r="F15" s="242" t="s">
        <v>401</v>
      </c>
      <c r="G15" s="230" t="s">
        <v>401</v>
      </c>
      <c r="H15" s="7" t="s">
        <v>401</v>
      </c>
      <c r="I15" s="7" t="s">
        <v>401</v>
      </c>
      <c r="J15" s="7">
        <v>1</v>
      </c>
      <c r="K15" s="7" t="s">
        <v>401</v>
      </c>
      <c r="L15" s="7" t="s">
        <v>401</v>
      </c>
      <c r="M15" s="231" t="s">
        <v>401</v>
      </c>
      <c r="N15" s="239" t="s">
        <v>405</v>
      </c>
      <c r="O15" s="25"/>
      <c r="P15" s="25"/>
      <c r="Q15" s="25"/>
      <c r="R15" s="25"/>
      <c r="S15" s="25"/>
      <c r="T15" s="25"/>
    </row>
    <row r="16" spans="1:20">
      <c r="A16" s="25"/>
      <c r="B16" s="235" t="s">
        <v>317</v>
      </c>
      <c r="C16" s="340" t="s">
        <v>398</v>
      </c>
      <c r="D16" s="9" t="s">
        <v>398</v>
      </c>
      <c r="E16" s="237" t="s">
        <v>404</v>
      </c>
      <c r="F16" s="242" t="s">
        <v>401</v>
      </c>
      <c r="G16" s="230" t="s">
        <v>401</v>
      </c>
      <c r="H16" s="7" t="s">
        <v>401</v>
      </c>
      <c r="I16" s="7" t="s">
        <v>401</v>
      </c>
      <c r="J16" s="7">
        <v>1</v>
      </c>
      <c r="K16" s="7" t="s">
        <v>401</v>
      </c>
      <c r="L16" s="7" t="s">
        <v>401</v>
      </c>
      <c r="M16" s="231" t="s">
        <v>401</v>
      </c>
      <c r="N16" s="239" t="s">
        <v>405</v>
      </c>
      <c r="O16" s="25"/>
      <c r="P16" s="25"/>
      <c r="Q16" s="25"/>
      <c r="R16" s="25"/>
      <c r="S16" s="25"/>
      <c r="T16" s="25"/>
    </row>
    <row r="17" spans="1:20">
      <c r="A17" s="25"/>
      <c r="B17" s="235" t="s">
        <v>318</v>
      </c>
      <c r="C17" s="230" t="s">
        <v>123</v>
      </c>
      <c r="D17" s="7" t="s">
        <v>406</v>
      </c>
      <c r="E17" s="231" t="s">
        <v>407</v>
      </c>
      <c r="F17" s="242" t="s">
        <v>396</v>
      </c>
      <c r="G17" s="230">
        <v>4</v>
      </c>
      <c r="H17" s="7">
        <v>7</v>
      </c>
      <c r="I17" s="7" t="s">
        <v>401</v>
      </c>
      <c r="J17" s="7" t="s">
        <v>401</v>
      </c>
      <c r="K17" s="7" t="s">
        <v>401</v>
      </c>
      <c r="L17" s="7">
        <v>10</v>
      </c>
      <c r="M17" s="231">
        <v>15</v>
      </c>
      <c r="N17" s="239" t="s">
        <v>408</v>
      </c>
      <c r="O17" s="25"/>
      <c r="P17" s="25"/>
      <c r="Q17" s="25"/>
      <c r="R17" s="25"/>
      <c r="S17" s="25"/>
      <c r="T17" s="25"/>
    </row>
    <row r="18" spans="1:20">
      <c r="A18" s="25"/>
      <c r="B18" s="235" t="s">
        <v>319</v>
      </c>
      <c r="C18" s="230" t="s">
        <v>123</v>
      </c>
      <c r="D18" s="7" t="s">
        <v>406</v>
      </c>
      <c r="E18" s="231" t="s">
        <v>319</v>
      </c>
      <c r="F18" s="242" t="s">
        <v>396</v>
      </c>
      <c r="G18" s="230">
        <v>10</v>
      </c>
      <c r="H18" s="7">
        <v>15</v>
      </c>
      <c r="I18" s="7" t="s">
        <v>401</v>
      </c>
      <c r="J18" s="7" t="s">
        <v>401</v>
      </c>
      <c r="K18" s="7" t="s">
        <v>401</v>
      </c>
      <c r="L18" s="7">
        <v>10</v>
      </c>
      <c r="M18" s="231">
        <v>15</v>
      </c>
      <c r="N18" s="239" t="s">
        <v>409</v>
      </c>
      <c r="O18" s="25"/>
      <c r="P18" s="25"/>
      <c r="Q18" s="25"/>
      <c r="R18" s="25"/>
      <c r="S18" s="25"/>
      <c r="T18" s="25"/>
    </row>
    <row r="19" spans="1:20">
      <c r="A19" s="25"/>
      <c r="B19" s="235" t="s">
        <v>320</v>
      </c>
      <c r="C19" s="230" t="s">
        <v>123</v>
      </c>
      <c r="D19" s="7" t="s">
        <v>406</v>
      </c>
      <c r="E19" s="231" t="s">
        <v>320</v>
      </c>
      <c r="F19" s="242" t="s">
        <v>396</v>
      </c>
      <c r="G19" s="230">
        <v>5</v>
      </c>
      <c r="H19" s="7">
        <v>10</v>
      </c>
      <c r="I19" s="7" t="s">
        <v>401</v>
      </c>
      <c r="J19" s="7" t="s">
        <v>401</v>
      </c>
      <c r="K19" s="7" t="s">
        <v>401</v>
      </c>
      <c r="L19" s="7">
        <v>10</v>
      </c>
      <c r="M19" s="231">
        <v>15</v>
      </c>
      <c r="N19" s="239" t="s">
        <v>409</v>
      </c>
      <c r="O19" s="25"/>
      <c r="P19" s="25"/>
      <c r="Q19" s="25"/>
      <c r="R19" s="25"/>
      <c r="S19" s="25"/>
      <c r="T19" s="25"/>
    </row>
    <row r="20" spans="1:20">
      <c r="A20" s="25"/>
      <c r="B20" s="235" t="s">
        <v>321</v>
      </c>
      <c r="C20" s="230" t="s">
        <v>123</v>
      </c>
      <c r="D20" s="7" t="s">
        <v>406</v>
      </c>
      <c r="E20" s="231" t="s">
        <v>321</v>
      </c>
      <c r="F20" s="242" t="s">
        <v>396</v>
      </c>
      <c r="G20" s="230">
        <v>10</v>
      </c>
      <c r="H20" s="7">
        <v>15</v>
      </c>
      <c r="I20" s="7" t="s">
        <v>401</v>
      </c>
      <c r="J20" s="7" t="s">
        <v>401</v>
      </c>
      <c r="K20" s="7" t="s">
        <v>401</v>
      </c>
      <c r="L20" s="7">
        <v>10</v>
      </c>
      <c r="M20" s="231">
        <v>15</v>
      </c>
      <c r="N20" s="239" t="s">
        <v>409</v>
      </c>
      <c r="O20" s="25"/>
      <c r="P20" s="25"/>
      <c r="Q20" s="25"/>
      <c r="R20" s="25"/>
      <c r="S20" s="25"/>
      <c r="T20" s="25"/>
    </row>
    <row r="21" spans="1:20">
      <c r="A21" s="25"/>
      <c r="B21" s="235" t="s">
        <v>322</v>
      </c>
      <c r="C21" s="230" t="s">
        <v>123</v>
      </c>
      <c r="D21" s="7" t="s">
        <v>406</v>
      </c>
      <c r="E21" s="231" t="s">
        <v>322</v>
      </c>
      <c r="F21" s="242" t="s">
        <v>396</v>
      </c>
      <c r="G21" s="230">
        <v>5</v>
      </c>
      <c r="H21" s="7">
        <v>10</v>
      </c>
      <c r="I21" s="7" t="s">
        <v>401</v>
      </c>
      <c r="J21" s="7" t="s">
        <v>401</v>
      </c>
      <c r="K21" s="7" t="s">
        <v>401</v>
      </c>
      <c r="L21" s="7">
        <v>3</v>
      </c>
      <c r="M21" s="231">
        <v>10</v>
      </c>
      <c r="N21" s="239" t="s">
        <v>409</v>
      </c>
      <c r="O21" s="25"/>
      <c r="P21" s="25"/>
      <c r="Q21" s="25"/>
      <c r="R21" s="25"/>
      <c r="S21" s="25"/>
      <c r="T21" s="25"/>
    </row>
    <row r="22" spans="1:20" ht="28.8">
      <c r="A22" s="25"/>
      <c r="B22" s="235" t="s">
        <v>323</v>
      </c>
      <c r="C22" s="340" t="s">
        <v>398</v>
      </c>
      <c r="D22" s="9" t="s">
        <v>398</v>
      </c>
      <c r="E22" s="231" t="s">
        <v>410</v>
      </c>
      <c r="F22" s="242" t="s">
        <v>401</v>
      </c>
      <c r="G22" s="230" t="s">
        <v>401</v>
      </c>
      <c r="H22" s="7" t="s">
        <v>401</v>
      </c>
      <c r="I22" s="7" t="s">
        <v>401</v>
      </c>
      <c r="J22" s="7">
        <v>1</v>
      </c>
      <c r="K22" s="7" t="s">
        <v>401</v>
      </c>
      <c r="L22" s="7" t="s">
        <v>401</v>
      </c>
      <c r="M22" s="231" t="s">
        <v>401</v>
      </c>
      <c r="N22" s="239" t="s">
        <v>411</v>
      </c>
      <c r="O22" s="25"/>
      <c r="P22" s="25"/>
      <c r="Q22" s="25"/>
      <c r="R22" s="25"/>
      <c r="S22" s="25"/>
      <c r="T22" s="25"/>
    </row>
    <row r="23" spans="1:20">
      <c r="A23" s="25"/>
      <c r="B23" s="235" t="s">
        <v>324</v>
      </c>
      <c r="C23" s="230" t="s">
        <v>123</v>
      </c>
      <c r="D23" s="7" t="s">
        <v>406</v>
      </c>
      <c r="E23" s="231" t="s">
        <v>324</v>
      </c>
      <c r="F23" s="242" t="s">
        <v>396</v>
      </c>
      <c r="G23" s="230">
        <v>5</v>
      </c>
      <c r="H23" s="7">
        <v>10</v>
      </c>
      <c r="I23" s="7" t="s">
        <v>401</v>
      </c>
      <c r="J23" s="7" t="s">
        <v>401</v>
      </c>
      <c r="K23" s="7" t="s">
        <v>401</v>
      </c>
      <c r="L23" s="7">
        <v>3</v>
      </c>
      <c r="M23" s="231">
        <v>10</v>
      </c>
      <c r="N23" s="239" t="s">
        <v>409</v>
      </c>
      <c r="O23" s="25"/>
      <c r="P23" s="25"/>
      <c r="Q23" s="25"/>
      <c r="R23" s="25"/>
      <c r="S23" s="25"/>
      <c r="T23" s="25"/>
    </row>
    <row r="24" spans="1:20">
      <c r="A24" s="25"/>
      <c r="B24" s="235" t="s">
        <v>325</v>
      </c>
      <c r="C24" s="230" t="s">
        <v>123</v>
      </c>
      <c r="D24" s="7" t="s">
        <v>406</v>
      </c>
      <c r="E24" s="231" t="s">
        <v>325</v>
      </c>
      <c r="F24" s="242" t="s">
        <v>396</v>
      </c>
      <c r="G24" s="230">
        <v>5</v>
      </c>
      <c r="H24" s="7">
        <v>10</v>
      </c>
      <c r="I24" s="7" t="s">
        <v>401</v>
      </c>
      <c r="J24" s="7" t="s">
        <v>401</v>
      </c>
      <c r="K24" s="7" t="s">
        <v>401</v>
      </c>
      <c r="L24" s="7">
        <v>3</v>
      </c>
      <c r="M24" s="231">
        <v>10</v>
      </c>
      <c r="N24" s="239" t="s">
        <v>409</v>
      </c>
      <c r="O24" s="25"/>
      <c r="P24" s="25"/>
      <c r="Q24" s="25"/>
      <c r="R24" s="25"/>
      <c r="S24" s="25"/>
      <c r="T24" s="25"/>
    </row>
    <row r="25" spans="1:20">
      <c r="A25" s="25"/>
      <c r="B25" s="235" t="s">
        <v>326</v>
      </c>
      <c r="C25" s="230" t="s">
        <v>123</v>
      </c>
      <c r="D25" s="7" t="s">
        <v>406</v>
      </c>
      <c r="E25" s="231" t="s">
        <v>326</v>
      </c>
      <c r="F25" s="242" t="s">
        <v>396</v>
      </c>
      <c r="G25" s="230">
        <v>10</v>
      </c>
      <c r="H25" s="7">
        <v>15</v>
      </c>
      <c r="I25" s="7" t="s">
        <v>401</v>
      </c>
      <c r="J25" s="7" t="s">
        <v>401</v>
      </c>
      <c r="K25" s="7" t="s">
        <v>401</v>
      </c>
      <c r="L25" s="7">
        <v>7</v>
      </c>
      <c r="M25" s="231">
        <v>15</v>
      </c>
      <c r="N25" s="239" t="s">
        <v>409</v>
      </c>
      <c r="O25" s="25"/>
      <c r="P25" s="25"/>
      <c r="Q25" s="25"/>
      <c r="R25" s="25"/>
      <c r="S25" s="25"/>
      <c r="T25" s="25"/>
    </row>
    <row r="26" spans="1:20">
      <c r="A26" s="25"/>
      <c r="B26" s="235" t="s">
        <v>327</v>
      </c>
      <c r="C26" s="230" t="s">
        <v>123</v>
      </c>
      <c r="D26" s="7" t="s">
        <v>406</v>
      </c>
      <c r="E26" s="231" t="s">
        <v>327</v>
      </c>
      <c r="F26" s="242" t="s">
        <v>396</v>
      </c>
      <c r="G26" s="230">
        <v>5</v>
      </c>
      <c r="H26" s="7">
        <v>10</v>
      </c>
      <c r="I26" s="7" t="s">
        <v>401</v>
      </c>
      <c r="J26" s="7" t="s">
        <v>401</v>
      </c>
      <c r="K26" s="7" t="s">
        <v>401</v>
      </c>
      <c r="L26" s="7">
        <v>3</v>
      </c>
      <c r="M26" s="231">
        <v>10</v>
      </c>
      <c r="N26" s="239" t="s">
        <v>409</v>
      </c>
      <c r="O26" s="25"/>
      <c r="P26" s="25"/>
      <c r="Q26" s="25"/>
      <c r="R26" s="25"/>
      <c r="S26" s="25"/>
      <c r="T26" s="25"/>
    </row>
    <row r="27" spans="1:20" ht="28.8">
      <c r="A27" s="25"/>
      <c r="B27" s="235" t="s">
        <v>328</v>
      </c>
      <c r="C27" s="340" t="s">
        <v>398</v>
      </c>
      <c r="D27" s="9" t="s">
        <v>398</v>
      </c>
      <c r="E27" s="231" t="s">
        <v>410</v>
      </c>
      <c r="F27" s="242" t="s">
        <v>401</v>
      </c>
      <c r="G27" s="230" t="s">
        <v>401</v>
      </c>
      <c r="H27" s="7" t="s">
        <v>401</v>
      </c>
      <c r="I27" s="7" t="s">
        <v>401</v>
      </c>
      <c r="J27" s="7">
        <v>1</v>
      </c>
      <c r="K27" s="7" t="s">
        <v>401</v>
      </c>
      <c r="L27" s="7" t="s">
        <v>401</v>
      </c>
      <c r="M27" s="231" t="s">
        <v>401</v>
      </c>
      <c r="N27" s="239" t="s">
        <v>411</v>
      </c>
      <c r="O27" s="25"/>
      <c r="P27" s="25"/>
      <c r="Q27" s="25"/>
      <c r="R27" s="25"/>
      <c r="S27" s="25"/>
      <c r="T27" s="25"/>
    </row>
    <row r="28" spans="1:20" ht="28.8">
      <c r="A28" s="25"/>
      <c r="B28" s="235" t="s">
        <v>329</v>
      </c>
      <c r="C28" s="340" t="s">
        <v>398</v>
      </c>
      <c r="D28" s="9" t="s">
        <v>398</v>
      </c>
      <c r="E28" s="231" t="s">
        <v>410</v>
      </c>
      <c r="F28" s="242" t="s">
        <v>401</v>
      </c>
      <c r="G28" s="230" t="s">
        <v>401</v>
      </c>
      <c r="H28" s="7" t="s">
        <v>401</v>
      </c>
      <c r="I28" s="7" t="s">
        <v>401</v>
      </c>
      <c r="J28" s="7">
        <v>1</v>
      </c>
      <c r="K28" s="7" t="s">
        <v>401</v>
      </c>
      <c r="L28" s="7" t="s">
        <v>401</v>
      </c>
      <c r="M28" s="231" t="s">
        <v>401</v>
      </c>
      <c r="N28" s="239" t="s">
        <v>411</v>
      </c>
      <c r="O28" s="25"/>
      <c r="P28" s="25"/>
      <c r="Q28" s="25"/>
      <c r="R28" s="25"/>
      <c r="S28" s="25"/>
      <c r="T28" s="25"/>
    </row>
    <row r="29" spans="1:20">
      <c r="A29" s="25"/>
      <c r="B29" s="235" t="s">
        <v>330</v>
      </c>
      <c r="C29" s="230" t="s">
        <v>123</v>
      </c>
      <c r="D29" s="7" t="s">
        <v>406</v>
      </c>
      <c r="E29" s="231" t="s">
        <v>330</v>
      </c>
      <c r="F29" s="242" t="s">
        <v>396</v>
      </c>
      <c r="G29" s="230">
        <v>10</v>
      </c>
      <c r="H29" s="7">
        <v>15</v>
      </c>
      <c r="I29" s="7" t="s">
        <v>401</v>
      </c>
      <c r="J29" s="7" t="s">
        <v>401</v>
      </c>
      <c r="K29" s="7" t="s">
        <v>401</v>
      </c>
      <c r="L29" s="7">
        <v>7</v>
      </c>
      <c r="M29" s="231">
        <v>15</v>
      </c>
      <c r="N29" s="239" t="s">
        <v>409</v>
      </c>
      <c r="O29" s="25"/>
      <c r="P29" s="25"/>
      <c r="Q29" s="25"/>
      <c r="R29" s="25"/>
      <c r="S29" s="25"/>
      <c r="T29" s="25"/>
    </row>
    <row r="30" spans="1:20">
      <c r="A30" s="25"/>
      <c r="B30" s="235" t="s">
        <v>331</v>
      </c>
      <c r="C30" s="230" t="s">
        <v>123</v>
      </c>
      <c r="D30" s="7" t="s">
        <v>406</v>
      </c>
      <c r="E30" s="231" t="s">
        <v>412</v>
      </c>
      <c r="F30" s="242" t="s">
        <v>396</v>
      </c>
      <c r="G30" s="230">
        <v>3</v>
      </c>
      <c r="H30" s="7">
        <v>5</v>
      </c>
      <c r="I30" s="7" t="s">
        <v>401</v>
      </c>
      <c r="J30" s="7" t="s">
        <v>401</v>
      </c>
      <c r="K30" s="7" t="s">
        <v>401</v>
      </c>
      <c r="L30" s="7">
        <v>4</v>
      </c>
      <c r="M30" s="231">
        <v>5</v>
      </c>
      <c r="N30" s="239" t="s">
        <v>413</v>
      </c>
      <c r="O30" s="25"/>
      <c r="P30" s="25"/>
      <c r="Q30" s="25"/>
      <c r="R30" s="25"/>
      <c r="S30" s="25"/>
      <c r="T30" s="25"/>
    </row>
    <row r="31" spans="1:20">
      <c r="A31" s="25"/>
      <c r="B31" s="235" t="s">
        <v>333</v>
      </c>
      <c r="C31" s="230" t="s">
        <v>123</v>
      </c>
      <c r="D31" s="7" t="s">
        <v>406</v>
      </c>
      <c r="E31" s="231" t="s">
        <v>333</v>
      </c>
      <c r="F31" s="242" t="s">
        <v>396</v>
      </c>
      <c r="G31" s="230">
        <v>3</v>
      </c>
      <c r="H31" s="7">
        <v>5</v>
      </c>
      <c r="I31" s="7" t="s">
        <v>401</v>
      </c>
      <c r="J31" s="7" t="s">
        <v>401</v>
      </c>
      <c r="K31" s="7" t="s">
        <v>401</v>
      </c>
      <c r="L31" s="7">
        <v>4</v>
      </c>
      <c r="M31" s="231">
        <v>5</v>
      </c>
      <c r="N31" s="239" t="s">
        <v>409</v>
      </c>
      <c r="O31" s="25"/>
      <c r="P31" s="25"/>
      <c r="Q31" s="25"/>
      <c r="R31" s="25"/>
      <c r="S31" s="25"/>
      <c r="T31" s="25"/>
    </row>
    <row r="32" spans="1:20">
      <c r="A32" s="25"/>
      <c r="B32" s="235" t="s">
        <v>334</v>
      </c>
      <c r="C32" s="230" t="s">
        <v>123</v>
      </c>
      <c r="D32" s="7" t="s">
        <v>406</v>
      </c>
      <c r="E32" s="231" t="s">
        <v>334</v>
      </c>
      <c r="F32" s="242" t="s">
        <v>396</v>
      </c>
      <c r="G32" s="230">
        <v>5</v>
      </c>
      <c r="H32" s="7">
        <v>10</v>
      </c>
      <c r="I32" s="7" t="s">
        <v>401</v>
      </c>
      <c r="J32" s="7" t="s">
        <v>401</v>
      </c>
      <c r="K32" s="7" t="s">
        <v>401</v>
      </c>
      <c r="L32" s="7">
        <v>20</v>
      </c>
      <c r="M32" s="231">
        <v>10</v>
      </c>
      <c r="N32" s="239" t="s">
        <v>409</v>
      </c>
      <c r="O32" s="25"/>
      <c r="P32" s="25"/>
      <c r="Q32" s="25"/>
      <c r="R32" s="25"/>
      <c r="S32" s="25"/>
      <c r="T32" s="25"/>
    </row>
    <row r="33" spans="1:20">
      <c r="A33" s="25"/>
      <c r="B33" s="235" t="s">
        <v>335</v>
      </c>
      <c r="C33" s="230" t="s">
        <v>123</v>
      </c>
      <c r="D33" s="7" t="s">
        <v>406</v>
      </c>
      <c r="E33" s="231" t="s">
        <v>335</v>
      </c>
      <c r="F33" s="242" t="s">
        <v>396</v>
      </c>
      <c r="G33" s="230">
        <v>3</v>
      </c>
      <c r="H33" s="7">
        <v>5</v>
      </c>
      <c r="I33" s="7" t="s">
        <v>401</v>
      </c>
      <c r="J33" s="7" t="s">
        <v>401</v>
      </c>
      <c r="K33" s="7" t="s">
        <v>401</v>
      </c>
      <c r="L33" s="7">
        <v>2</v>
      </c>
      <c r="M33" s="231" t="s">
        <v>401</v>
      </c>
      <c r="N33" s="239" t="s">
        <v>409</v>
      </c>
      <c r="O33" s="25"/>
      <c r="P33" s="25"/>
      <c r="Q33" s="25"/>
      <c r="R33" s="25"/>
      <c r="S33" s="25"/>
      <c r="T33" s="25"/>
    </row>
    <row r="34" spans="1:20">
      <c r="A34" s="25"/>
      <c r="B34" s="235" t="s">
        <v>336</v>
      </c>
      <c r="C34" s="230" t="s">
        <v>123</v>
      </c>
      <c r="D34" s="7" t="s">
        <v>406</v>
      </c>
      <c r="E34" s="231" t="s">
        <v>336</v>
      </c>
      <c r="F34" s="242" t="s">
        <v>396</v>
      </c>
      <c r="G34" s="230">
        <v>10</v>
      </c>
      <c r="H34" s="7">
        <v>20</v>
      </c>
      <c r="I34" s="7" t="s">
        <v>401</v>
      </c>
      <c r="J34" s="7" t="s">
        <v>401</v>
      </c>
      <c r="K34" s="7" t="s">
        <v>401</v>
      </c>
      <c r="L34" s="7">
        <v>10</v>
      </c>
      <c r="M34" s="231">
        <v>20</v>
      </c>
      <c r="N34" s="239" t="s">
        <v>409</v>
      </c>
      <c r="O34" s="25"/>
      <c r="P34" s="25"/>
      <c r="Q34" s="25"/>
      <c r="R34" s="25"/>
      <c r="S34" s="25"/>
      <c r="T34" s="25"/>
    </row>
    <row r="35" spans="1:20">
      <c r="A35" s="25"/>
      <c r="B35" s="235" t="s">
        <v>337</v>
      </c>
      <c r="C35" s="230" t="s">
        <v>123</v>
      </c>
      <c r="D35" s="7" t="s">
        <v>406</v>
      </c>
      <c r="E35" s="235" t="s">
        <v>337</v>
      </c>
      <c r="F35" s="242" t="s">
        <v>396</v>
      </c>
      <c r="G35" s="230">
        <v>3</v>
      </c>
      <c r="H35" s="7">
        <v>5</v>
      </c>
      <c r="I35" s="7" t="s">
        <v>401</v>
      </c>
      <c r="J35" s="7" t="s">
        <v>401</v>
      </c>
      <c r="K35" s="7" t="s">
        <v>401</v>
      </c>
      <c r="L35" s="7">
        <v>2</v>
      </c>
      <c r="M35" s="231" t="s">
        <v>401</v>
      </c>
      <c r="N35" s="239" t="s">
        <v>409</v>
      </c>
      <c r="O35" s="25"/>
      <c r="P35" s="25"/>
      <c r="Q35" s="25"/>
      <c r="R35" s="25"/>
      <c r="S35" s="25"/>
      <c r="T35" s="25"/>
    </row>
    <row r="36" spans="1:20">
      <c r="A36" s="25"/>
      <c r="B36" s="235" t="s">
        <v>338</v>
      </c>
      <c r="C36" s="230" t="s">
        <v>123</v>
      </c>
      <c r="D36" s="7" t="s">
        <v>406</v>
      </c>
      <c r="E36" s="231" t="s">
        <v>338</v>
      </c>
      <c r="F36" s="242" t="s">
        <v>396</v>
      </c>
      <c r="G36" s="230">
        <v>1</v>
      </c>
      <c r="H36" s="7">
        <v>1</v>
      </c>
      <c r="I36" s="7" t="s">
        <v>401</v>
      </c>
      <c r="J36" s="7" t="s">
        <v>401</v>
      </c>
      <c r="K36" s="7" t="s">
        <v>401</v>
      </c>
      <c r="L36" s="7">
        <v>1</v>
      </c>
      <c r="M36" s="231">
        <v>1</v>
      </c>
      <c r="N36" s="239" t="s">
        <v>409</v>
      </c>
      <c r="O36" s="25"/>
      <c r="P36" s="25"/>
      <c r="Q36" s="25"/>
      <c r="R36" s="25"/>
      <c r="S36" s="25"/>
      <c r="T36" s="25"/>
    </row>
    <row r="37" spans="1:20">
      <c r="A37" s="25"/>
      <c r="B37" s="235" t="s">
        <v>339</v>
      </c>
      <c r="C37" s="230" t="s">
        <v>399</v>
      </c>
      <c r="D37" s="7" t="s">
        <v>399</v>
      </c>
      <c r="E37" s="237" t="s">
        <v>400</v>
      </c>
      <c r="F37" s="242" t="s">
        <v>401</v>
      </c>
      <c r="G37" s="230" t="s">
        <v>401</v>
      </c>
      <c r="H37" s="7" t="s">
        <v>401</v>
      </c>
      <c r="I37" s="7" t="s">
        <v>401</v>
      </c>
      <c r="J37" s="7" t="s">
        <v>401</v>
      </c>
      <c r="K37" s="7">
        <v>0</v>
      </c>
      <c r="L37" s="7" t="s">
        <v>401</v>
      </c>
      <c r="M37" s="231" t="s">
        <v>401</v>
      </c>
      <c r="N37" s="239" t="s">
        <v>400</v>
      </c>
      <c r="O37" s="25"/>
      <c r="P37" s="25"/>
      <c r="Q37" s="25"/>
      <c r="R37" s="25"/>
      <c r="S37" s="25"/>
      <c r="T37" s="25"/>
    </row>
    <row r="38" spans="1:20">
      <c r="A38" s="25"/>
      <c r="B38" s="235" t="s">
        <v>342</v>
      </c>
      <c r="C38" s="230" t="s">
        <v>123</v>
      </c>
      <c r="D38" s="7" t="s">
        <v>406</v>
      </c>
      <c r="E38" s="231" t="s">
        <v>342</v>
      </c>
      <c r="F38" s="242" t="s">
        <v>396</v>
      </c>
      <c r="G38" s="230">
        <v>1</v>
      </c>
      <c r="H38" s="7">
        <v>3</v>
      </c>
      <c r="I38" s="7" t="s">
        <v>401</v>
      </c>
      <c r="J38" s="7" t="s">
        <v>401</v>
      </c>
      <c r="K38" s="7" t="s">
        <v>401</v>
      </c>
      <c r="L38" s="7">
        <v>2</v>
      </c>
      <c r="M38" s="231">
        <v>3</v>
      </c>
      <c r="N38" s="239" t="s">
        <v>409</v>
      </c>
      <c r="O38" s="25"/>
      <c r="P38" s="25"/>
      <c r="Q38" s="25"/>
      <c r="R38" s="25"/>
      <c r="S38" s="25"/>
      <c r="T38" s="25"/>
    </row>
    <row r="39" spans="1:20">
      <c r="A39" s="25"/>
      <c r="B39" s="235" t="s">
        <v>343</v>
      </c>
      <c r="C39" s="230" t="s">
        <v>123</v>
      </c>
      <c r="D39" s="7" t="s">
        <v>406</v>
      </c>
      <c r="E39" s="231" t="s">
        <v>343</v>
      </c>
      <c r="F39" s="242" t="s">
        <v>396</v>
      </c>
      <c r="G39" s="230">
        <v>5</v>
      </c>
      <c r="H39" s="7">
        <v>10</v>
      </c>
      <c r="I39" s="7" t="s">
        <v>401</v>
      </c>
      <c r="J39" s="7" t="s">
        <v>401</v>
      </c>
      <c r="K39" s="7" t="s">
        <v>401</v>
      </c>
      <c r="L39" s="7">
        <v>5</v>
      </c>
      <c r="M39" s="231">
        <v>10</v>
      </c>
      <c r="N39" s="239" t="s">
        <v>409</v>
      </c>
      <c r="O39" s="25"/>
      <c r="P39" s="25"/>
      <c r="Q39" s="25"/>
      <c r="R39" s="25"/>
      <c r="S39" s="25"/>
      <c r="T39" s="25"/>
    </row>
    <row r="40" spans="1:20">
      <c r="A40" s="25"/>
      <c r="B40" s="235" t="s">
        <v>344</v>
      </c>
      <c r="C40" s="230" t="s">
        <v>399</v>
      </c>
      <c r="D40" s="7" t="s">
        <v>399</v>
      </c>
      <c r="E40" s="237" t="s">
        <v>400</v>
      </c>
      <c r="F40" s="242" t="s">
        <v>401</v>
      </c>
      <c r="G40" s="230" t="s">
        <v>401</v>
      </c>
      <c r="H40" s="7" t="s">
        <v>401</v>
      </c>
      <c r="I40" s="7" t="s">
        <v>401</v>
      </c>
      <c r="J40" s="7" t="s">
        <v>401</v>
      </c>
      <c r="K40" s="7">
        <v>0</v>
      </c>
      <c r="L40" s="7" t="s">
        <v>401</v>
      </c>
      <c r="M40" s="231" t="s">
        <v>401</v>
      </c>
      <c r="N40" s="239" t="s">
        <v>400</v>
      </c>
      <c r="O40" s="25"/>
      <c r="P40" s="25"/>
      <c r="Q40" s="25"/>
      <c r="R40" s="25"/>
      <c r="S40" s="25"/>
      <c r="T40" s="25"/>
    </row>
    <row r="41" spans="1:20">
      <c r="A41" s="25"/>
      <c r="B41" s="235" t="s">
        <v>345</v>
      </c>
      <c r="C41" s="230" t="s">
        <v>123</v>
      </c>
      <c r="D41" s="7" t="s">
        <v>406</v>
      </c>
      <c r="E41" s="231" t="s">
        <v>345</v>
      </c>
      <c r="F41" s="242" t="s">
        <v>396</v>
      </c>
      <c r="G41" s="230">
        <v>15</v>
      </c>
      <c r="H41" s="7">
        <v>20</v>
      </c>
      <c r="I41" s="7" t="s">
        <v>401</v>
      </c>
      <c r="J41" s="7" t="s">
        <v>401</v>
      </c>
      <c r="K41" s="7" t="s">
        <v>401</v>
      </c>
      <c r="L41" s="7">
        <v>15</v>
      </c>
      <c r="M41" s="231">
        <v>20</v>
      </c>
      <c r="N41" s="239" t="s">
        <v>409</v>
      </c>
      <c r="O41" s="25"/>
      <c r="P41" s="25"/>
      <c r="Q41" s="25"/>
      <c r="R41" s="25"/>
      <c r="S41" s="25"/>
      <c r="T41" s="25"/>
    </row>
    <row r="42" spans="1:20">
      <c r="A42" s="25"/>
      <c r="B42" s="235" t="s">
        <v>346</v>
      </c>
      <c r="C42" s="230" t="s">
        <v>399</v>
      </c>
      <c r="D42" s="7" t="s">
        <v>399</v>
      </c>
      <c r="E42" s="237" t="s">
        <v>400</v>
      </c>
      <c r="F42" s="242" t="s">
        <v>401</v>
      </c>
      <c r="G42" s="230" t="s">
        <v>401</v>
      </c>
      <c r="H42" s="7" t="s">
        <v>401</v>
      </c>
      <c r="I42" s="7" t="s">
        <v>401</v>
      </c>
      <c r="J42" s="7" t="s">
        <v>401</v>
      </c>
      <c r="K42" s="7">
        <v>0</v>
      </c>
      <c r="L42" s="7" t="s">
        <v>401</v>
      </c>
      <c r="M42" s="231" t="s">
        <v>401</v>
      </c>
      <c r="N42" s="239" t="s">
        <v>400</v>
      </c>
      <c r="O42" s="25"/>
      <c r="P42" s="25"/>
      <c r="Q42" s="25"/>
      <c r="R42" s="25"/>
      <c r="S42" s="25"/>
      <c r="T42" s="25"/>
    </row>
    <row r="43" spans="1:20">
      <c r="A43" s="25"/>
      <c r="B43" s="235" t="s">
        <v>351</v>
      </c>
      <c r="C43" s="340" t="s">
        <v>398</v>
      </c>
      <c r="D43" s="9" t="s">
        <v>398</v>
      </c>
      <c r="E43" s="231" t="s">
        <v>343</v>
      </c>
      <c r="F43" s="242" t="s">
        <v>401</v>
      </c>
      <c r="G43" s="230" t="s">
        <v>401</v>
      </c>
      <c r="H43" s="7" t="s">
        <v>401</v>
      </c>
      <c r="I43" s="7" t="s">
        <v>401</v>
      </c>
      <c r="J43" s="7">
        <v>1</v>
      </c>
      <c r="K43" s="7" t="s">
        <v>401</v>
      </c>
      <c r="L43" s="7" t="s">
        <v>401</v>
      </c>
      <c r="M43" s="7" t="s">
        <v>401</v>
      </c>
      <c r="N43" s="239" t="s">
        <v>414</v>
      </c>
      <c r="O43" s="25"/>
      <c r="P43" s="25"/>
      <c r="Q43" s="25"/>
      <c r="R43" s="25"/>
      <c r="S43" s="25"/>
      <c r="T43" s="25"/>
    </row>
    <row r="44" spans="1:20">
      <c r="A44" s="25"/>
      <c r="B44" s="235" t="s">
        <v>348</v>
      </c>
      <c r="C44" s="230" t="s">
        <v>123</v>
      </c>
      <c r="D44" s="7" t="s">
        <v>406</v>
      </c>
      <c r="E44" s="231" t="s">
        <v>348</v>
      </c>
      <c r="F44" s="242" t="s">
        <v>396</v>
      </c>
      <c r="G44" s="230">
        <v>3</v>
      </c>
      <c r="H44" s="7">
        <v>5</v>
      </c>
      <c r="I44" s="7" t="s">
        <v>401</v>
      </c>
      <c r="J44" s="7" t="s">
        <v>401</v>
      </c>
      <c r="K44" s="7" t="s">
        <v>401</v>
      </c>
      <c r="L44" s="7">
        <v>2</v>
      </c>
      <c r="M44" s="231">
        <v>5</v>
      </c>
      <c r="N44" s="239" t="s">
        <v>409</v>
      </c>
      <c r="O44" s="25"/>
      <c r="P44" s="25"/>
      <c r="Q44" s="25"/>
      <c r="R44" s="25"/>
      <c r="S44" s="25"/>
      <c r="T44" s="25"/>
    </row>
    <row r="45" spans="1:20">
      <c r="A45" s="25"/>
      <c r="B45" s="235" t="s">
        <v>349</v>
      </c>
      <c r="C45" s="230" t="s">
        <v>123</v>
      </c>
      <c r="D45" s="7" t="s">
        <v>406</v>
      </c>
      <c r="E45" s="231" t="s">
        <v>349</v>
      </c>
      <c r="F45" s="242" t="s">
        <v>396</v>
      </c>
      <c r="G45" s="230">
        <v>3</v>
      </c>
      <c r="H45" s="7">
        <v>5</v>
      </c>
      <c r="I45" s="7" t="s">
        <v>401</v>
      </c>
      <c r="J45" s="7" t="s">
        <v>401</v>
      </c>
      <c r="K45" s="7" t="s">
        <v>401</v>
      </c>
      <c r="L45" s="7">
        <v>2</v>
      </c>
      <c r="M45" s="231">
        <v>5</v>
      </c>
      <c r="N45" s="239" t="s">
        <v>409</v>
      </c>
      <c r="O45" s="25"/>
      <c r="P45" s="25"/>
      <c r="Q45" s="25"/>
      <c r="R45" s="25"/>
      <c r="S45" s="25"/>
      <c r="T45" s="25"/>
    </row>
    <row r="46" spans="1:20">
      <c r="A46" s="25"/>
      <c r="B46" s="235" t="s">
        <v>350</v>
      </c>
      <c r="C46" s="340" t="s">
        <v>398</v>
      </c>
      <c r="D46" s="9" t="s">
        <v>398</v>
      </c>
      <c r="E46" s="237" t="s">
        <v>400</v>
      </c>
      <c r="F46" s="242" t="s">
        <v>401</v>
      </c>
      <c r="G46" s="230" t="s">
        <v>401</v>
      </c>
      <c r="H46" s="7" t="s">
        <v>401</v>
      </c>
      <c r="I46" s="7" t="s">
        <v>401</v>
      </c>
      <c r="J46" s="7">
        <v>1</v>
      </c>
      <c r="K46" s="7" t="s">
        <v>401</v>
      </c>
      <c r="L46" s="7" t="s">
        <v>401</v>
      </c>
      <c r="M46" s="231" t="s">
        <v>401</v>
      </c>
      <c r="N46" s="239" t="s">
        <v>400</v>
      </c>
      <c r="O46" s="25"/>
      <c r="P46" s="25"/>
      <c r="Q46" s="25"/>
      <c r="R46" s="25"/>
      <c r="S46" s="25"/>
      <c r="T46" s="25"/>
    </row>
    <row r="47" spans="1:20">
      <c r="A47" s="25"/>
      <c r="B47" s="235" t="s">
        <v>347</v>
      </c>
      <c r="C47" s="230" t="s">
        <v>123</v>
      </c>
      <c r="D47" s="7" t="s">
        <v>406</v>
      </c>
      <c r="E47" s="231" t="s">
        <v>415</v>
      </c>
      <c r="F47" s="242" t="s">
        <v>396</v>
      </c>
      <c r="G47" s="230">
        <v>3</v>
      </c>
      <c r="H47" s="7">
        <v>5</v>
      </c>
      <c r="I47" s="7" t="s">
        <v>401</v>
      </c>
      <c r="J47" s="7" t="s">
        <v>401</v>
      </c>
      <c r="K47" s="7" t="s">
        <v>401</v>
      </c>
      <c r="L47" s="7">
        <v>2</v>
      </c>
      <c r="M47" s="231">
        <v>10</v>
      </c>
      <c r="N47" s="239" t="s">
        <v>416</v>
      </c>
      <c r="O47" s="25"/>
      <c r="P47" s="25"/>
      <c r="Q47" s="25"/>
      <c r="R47" s="25"/>
      <c r="S47" s="25"/>
      <c r="T47" s="25"/>
    </row>
    <row r="48" spans="1:20">
      <c r="A48" s="25"/>
      <c r="B48" s="235" t="s">
        <v>352</v>
      </c>
      <c r="C48" s="340" t="s">
        <v>398</v>
      </c>
      <c r="D48" s="9" t="s">
        <v>398</v>
      </c>
      <c r="E48" s="237" t="s">
        <v>400</v>
      </c>
      <c r="F48" s="242" t="s">
        <v>401</v>
      </c>
      <c r="G48" s="230" t="s">
        <v>401</v>
      </c>
      <c r="H48" s="7" t="s">
        <v>401</v>
      </c>
      <c r="I48" s="7" t="s">
        <v>401</v>
      </c>
      <c r="J48" s="7">
        <v>1</v>
      </c>
      <c r="K48" s="7" t="s">
        <v>401</v>
      </c>
      <c r="L48" s="7" t="s">
        <v>401</v>
      </c>
      <c r="M48" s="231" t="s">
        <v>401</v>
      </c>
      <c r="N48" s="239" t="s">
        <v>400</v>
      </c>
      <c r="O48" s="25"/>
      <c r="P48" s="25"/>
      <c r="Q48" s="25"/>
      <c r="R48" s="25"/>
      <c r="S48" s="25"/>
      <c r="T48" s="25"/>
    </row>
    <row r="49" spans="1:20">
      <c r="A49" s="25"/>
      <c r="B49" s="235" t="s">
        <v>353</v>
      </c>
      <c r="C49" s="230" t="s">
        <v>123</v>
      </c>
      <c r="D49" s="7" t="s">
        <v>406</v>
      </c>
      <c r="E49" s="231" t="s">
        <v>353</v>
      </c>
      <c r="F49" s="242" t="s">
        <v>396</v>
      </c>
      <c r="G49" s="230">
        <v>3</v>
      </c>
      <c r="H49" s="7">
        <v>5</v>
      </c>
      <c r="I49" s="7" t="s">
        <v>401</v>
      </c>
      <c r="J49" s="7" t="s">
        <v>401</v>
      </c>
      <c r="K49" s="7" t="s">
        <v>401</v>
      </c>
      <c r="L49" s="7">
        <v>1</v>
      </c>
      <c r="M49" s="231">
        <v>1</v>
      </c>
      <c r="N49" s="239" t="s">
        <v>409</v>
      </c>
      <c r="O49" s="25"/>
      <c r="P49" s="25"/>
      <c r="Q49" s="25"/>
      <c r="R49" s="25"/>
      <c r="S49" s="25"/>
      <c r="T49" s="25"/>
    </row>
    <row r="50" spans="1:20">
      <c r="A50" s="25"/>
      <c r="B50" s="235" t="s">
        <v>354</v>
      </c>
      <c r="C50" s="340" t="s">
        <v>398</v>
      </c>
      <c r="D50" s="9" t="s">
        <v>398</v>
      </c>
      <c r="E50" s="231" t="s">
        <v>336</v>
      </c>
      <c r="F50" s="242" t="s">
        <v>401</v>
      </c>
      <c r="G50" s="230" t="s">
        <v>401</v>
      </c>
      <c r="H50" s="7" t="s">
        <v>401</v>
      </c>
      <c r="I50" s="7" t="s">
        <v>401</v>
      </c>
      <c r="J50" s="7">
        <v>1</v>
      </c>
      <c r="K50" s="7" t="s">
        <v>401</v>
      </c>
      <c r="L50" s="7" t="s">
        <v>401</v>
      </c>
      <c r="M50" s="231" t="s">
        <v>401</v>
      </c>
      <c r="N50" s="239" t="s">
        <v>417</v>
      </c>
      <c r="O50" s="25"/>
      <c r="P50" s="25"/>
      <c r="Q50" s="25"/>
      <c r="R50" s="25"/>
      <c r="S50" s="25"/>
      <c r="T50" s="25"/>
    </row>
    <row r="51" spans="1:20">
      <c r="A51" s="25"/>
      <c r="B51" s="235" t="s">
        <v>103</v>
      </c>
      <c r="C51" s="230" t="s">
        <v>123</v>
      </c>
      <c r="D51" s="7" t="s">
        <v>406</v>
      </c>
      <c r="E51" s="235" t="s">
        <v>103</v>
      </c>
      <c r="F51" s="242" t="s">
        <v>396</v>
      </c>
      <c r="G51" s="230">
        <v>27</v>
      </c>
      <c r="H51" s="7" t="s">
        <v>418</v>
      </c>
      <c r="I51" s="7" t="s">
        <v>401</v>
      </c>
      <c r="J51" s="7" t="s">
        <v>401</v>
      </c>
      <c r="K51" s="7" t="s">
        <v>401</v>
      </c>
      <c r="L51" s="7">
        <v>16</v>
      </c>
      <c r="M51" s="231" t="s">
        <v>401</v>
      </c>
      <c r="N51" s="239" t="s">
        <v>400</v>
      </c>
      <c r="O51" s="25"/>
      <c r="P51" s="25"/>
      <c r="Q51" s="25"/>
      <c r="R51" s="25"/>
      <c r="S51" s="25"/>
      <c r="T51" s="25"/>
    </row>
    <row r="52" spans="1:20">
      <c r="A52" s="25"/>
      <c r="B52" s="235" t="s">
        <v>355</v>
      </c>
      <c r="C52" s="230" t="s">
        <v>123</v>
      </c>
      <c r="D52" s="7" t="s">
        <v>406</v>
      </c>
      <c r="E52" s="231" t="s">
        <v>355</v>
      </c>
      <c r="F52" s="242" t="s">
        <v>396</v>
      </c>
      <c r="G52" s="230">
        <v>3</v>
      </c>
      <c r="H52" s="7">
        <v>5</v>
      </c>
      <c r="I52" s="7" t="s">
        <v>401</v>
      </c>
      <c r="J52" s="7" t="s">
        <v>401</v>
      </c>
      <c r="K52" s="7" t="s">
        <v>401</v>
      </c>
      <c r="L52" s="7">
        <v>2</v>
      </c>
      <c r="M52" s="231">
        <v>5</v>
      </c>
      <c r="N52" s="239" t="s">
        <v>409</v>
      </c>
      <c r="O52" s="25"/>
      <c r="P52" s="25"/>
      <c r="Q52" s="25"/>
      <c r="R52" s="25"/>
      <c r="S52" s="25"/>
      <c r="T52" s="25"/>
    </row>
    <row r="53" spans="1:20">
      <c r="A53" s="25"/>
      <c r="B53" s="235" t="s">
        <v>356</v>
      </c>
      <c r="C53" s="230" t="s">
        <v>399</v>
      </c>
      <c r="D53" s="7" t="s">
        <v>399</v>
      </c>
      <c r="E53" s="237" t="s">
        <v>400</v>
      </c>
      <c r="F53" s="242" t="s">
        <v>401</v>
      </c>
      <c r="G53" s="230" t="s">
        <v>401</v>
      </c>
      <c r="H53" s="7" t="s">
        <v>401</v>
      </c>
      <c r="I53" s="7" t="s">
        <v>401</v>
      </c>
      <c r="J53" s="7" t="s">
        <v>401</v>
      </c>
      <c r="K53" s="7">
        <v>0</v>
      </c>
      <c r="L53" s="7" t="s">
        <v>401</v>
      </c>
      <c r="M53" s="231" t="s">
        <v>401</v>
      </c>
      <c r="N53" s="239" t="s">
        <v>400</v>
      </c>
      <c r="O53" s="25"/>
      <c r="P53" s="25"/>
      <c r="Q53" s="25"/>
      <c r="R53" s="25"/>
      <c r="S53" s="25"/>
      <c r="T53" s="25"/>
    </row>
    <row r="54" spans="1:20">
      <c r="A54" s="25"/>
      <c r="B54" s="235" t="s">
        <v>357</v>
      </c>
      <c r="C54" s="230" t="s">
        <v>123</v>
      </c>
      <c r="D54" s="7" t="s">
        <v>406</v>
      </c>
      <c r="E54" s="231" t="s">
        <v>357</v>
      </c>
      <c r="F54" s="242" t="s">
        <v>396</v>
      </c>
      <c r="G54" s="230">
        <v>3</v>
      </c>
      <c r="H54" s="7">
        <v>5</v>
      </c>
      <c r="I54" s="7" t="s">
        <v>401</v>
      </c>
      <c r="J54" s="7" t="s">
        <v>401</v>
      </c>
      <c r="K54" s="7" t="s">
        <v>401</v>
      </c>
      <c r="L54" s="7">
        <v>1</v>
      </c>
      <c r="M54" s="231">
        <v>1</v>
      </c>
      <c r="N54" s="239" t="s">
        <v>409</v>
      </c>
      <c r="O54" s="25"/>
      <c r="P54" s="25"/>
      <c r="Q54" s="25"/>
      <c r="R54" s="25"/>
      <c r="S54" s="25"/>
      <c r="T54" s="25"/>
    </row>
    <row r="55" spans="1:20">
      <c r="A55" s="25"/>
      <c r="B55" s="235" t="s">
        <v>358</v>
      </c>
      <c r="C55" s="340" t="s">
        <v>398</v>
      </c>
      <c r="D55" s="9" t="s">
        <v>398</v>
      </c>
      <c r="E55" s="237" t="s">
        <v>400</v>
      </c>
      <c r="F55" s="242" t="s">
        <v>401</v>
      </c>
      <c r="G55" s="230" t="s">
        <v>401</v>
      </c>
      <c r="H55" s="7" t="s">
        <v>401</v>
      </c>
      <c r="I55" s="7" t="s">
        <v>401</v>
      </c>
      <c r="J55" s="7">
        <v>1</v>
      </c>
      <c r="K55" s="7" t="s">
        <v>401</v>
      </c>
      <c r="L55" s="7">
        <v>2</v>
      </c>
      <c r="M55" s="231">
        <v>5</v>
      </c>
      <c r="N55" s="239" t="s">
        <v>409</v>
      </c>
      <c r="O55" s="25"/>
      <c r="P55" s="25"/>
      <c r="Q55" s="25"/>
      <c r="R55" s="25"/>
      <c r="S55" s="25"/>
      <c r="T55" s="25"/>
    </row>
    <row r="56" spans="1:20">
      <c r="A56" s="25"/>
      <c r="B56" s="235" t="s">
        <v>359</v>
      </c>
      <c r="C56" s="230" t="s">
        <v>123</v>
      </c>
      <c r="D56" s="7" t="s">
        <v>406</v>
      </c>
      <c r="E56" s="242" t="s">
        <v>359</v>
      </c>
      <c r="F56" s="242" t="s">
        <v>396</v>
      </c>
      <c r="G56" s="230">
        <v>3</v>
      </c>
      <c r="H56" s="7">
        <v>5</v>
      </c>
      <c r="I56" s="7" t="s">
        <v>401</v>
      </c>
      <c r="J56" s="7" t="s">
        <v>401</v>
      </c>
      <c r="K56" s="7" t="s">
        <v>401</v>
      </c>
      <c r="L56" s="7">
        <v>1</v>
      </c>
      <c r="M56" s="231">
        <v>1</v>
      </c>
      <c r="N56" s="239" t="s">
        <v>409</v>
      </c>
      <c r="O56" s="25"/>
      <c r="P56" s="25"/>
      <c r="Q56" s="25"/>
      <c r="R56" s="25"/>
      <c r="S56" s="25"/>
      <c r="T56" s="25"/>
    </row>
    <row r="57" spans="1:20">
      <c r="A57" s="25"/>
      <c r="B57" s="235" t="s">
        <v>360</v>
      </c>
      <c r="C57" s="230" t="s">
        <v>123</v>
      </c>
      <c r="D57" s="7" t="s">
        <v>406</v>
      </c>
      <c r="E57" s="231" t="s">
        <v>419</v>
      </c>
      <c r="F57" s="242" t="s">
        <v>396</v>
      </c>
      <c r="G57" s="230">
        <v>30</v>
      </c>
      <c r="H57" s="7" t="s">
        <v>418</v>
      </c>
      <c r="I57" s="7" t="s">
        <v>401</v>
      </c>
      <c r="J57" s="7" t="s">
        <v>401</v>
      </c>
      <c r="K57" s="7" t="s">
        <v>401</v>
      </c>
      <c r="L57" s="7" t="s">
        <v>418</v>
      </c>
      <c r="M57" s="231" t="s">
        <v>401</v>
      </c>
      <c r="N57" s="239" t="s">
        <v>420</v>
      </c>
      <c r="O57" s="25"/>
      <c r="P57" s="25"/>
      <c r="Q57" s="25"/>
      <c r="R57" s="25"/>
      <c r="S57" s="25"/>
      <c r="T57" s="25"/>
    </row>
    <row r="58" spans="1:20">
      <c r="A58" s="25"/>
      <c r="B58" s="235" t="s">
        <v>361</v>
      </c>
      <c r="C58" s="230" t="s">
        <v>123</v>
      </c>
      <c r="D58" s="7" t="s">
        <v>406</v>
      </c>
      <c r="E58" s="231" t="s">
        <v>361</v>
      </c>
      <c r="F58" s="242" t="s">
        <v>396</v>
      </c>
      <c r="G58" s="230" t="s">
        <v>418</v>
      </c>
      <c r="H58" s="7" t="s">
        <v>418</v>
      </c>
      <c r="I58" s="7" t="s">
        <v>401</v>
      </c>
      <c r="J58" s="7" t="s">
        <v>401</v>
      </c>
      <c r="K58" s="7" t="s">
        <v>401</v>
      </c>
      <c r="L58" s="7">
        <v>15</v>
      </c>
      <c r="M58" s="231" t="s">
        <v>418</v>
      </c>
      <c r="N58" s="239" t="s">
        <v>409</v>
      </c>
      <c r="O58" s="25"/>
      <c r="P58" s="25"/>
      <c r="Q58" s="25"/>
      <c r="R58" s="25"/>
      <c r="S58" s="25"/>
      <c r="T58" s="25"/>
    </row>
    <row r="59" spans="1:20">
      <c r="A59" s="25"/>
      <c r="B59" s="235" t="s">
        <v>362</v>
      </c>
      <c r="C59" s="230" t="s">
        <v>123</v>
      </c>
      <c r="D59" s="7" t="s">
        <v>406</v>
      </c>
      <c r="E59" s="231" t="s">
        <v>362</v>
      </c>
      <c r="F59" s="242" t="s">
        <v>396</v>
      </c>
      <c r="G59" s="230">
        <v>15</v>
      </c>
      <c r="H59" s="7" t="s">
        <v>418</v>
      </c>
      <c r="I59" s="7" t="s">
        <v>401</v>
      </c>
      <c r="J59" s="7" t="s">
        <v>401</v>
      </c>
      <c r="K59" s="7" t="s">
        <v>401</v>
      </c>
      <c r="L59" s="7">
        <v>10</v>
      </c>
      <c r="M59" s="231">
        <v>25</v>
      </c>
      <c r="N59" s="239" t="s">
        <v>409</v>
      </c>
      <c r="O59" s="25"/>
      <c r="P59" s="25"/>
      <c r="Q59" s="25"/>
      <c r="R59" s="25"/>
      <c r="S59" s="25"/>
      <c r="T59" s="25"/>
    </row>
    <row r="60" spans="1:20">
      <c r="A60" s="25"/>
      <c r="B60" s="235" t="s">
        <v>363</v>
      </c>
      <c r="C60" s="230" t="s">
        <v>123</v>
      </c>
      <c r="D60" s="7" t="s">
        <v>406</v>
      </c>
      <c r="E60" s="231" t="s">
        <v>363</v>
      </c>
      <c r="F60" s="242" t="s">
        <v>396</v>
      </c>
      <c r="G60" s="230">
        <v>30</v>
      </c>
      <c r="H60" s="7" t="s">
        <v>418</v>
      </c>
      <c r="I60" s="7" t="s">
        <v>401</v>
      </c>
      <c r="J60" s="7" t="s">
        <v>401</v>
      </c>
      <c r="K60" s="7" t="s">
        <v>401</v>
      </c>
      <c r="L60" s="7">
        <v>10</v>
      </c>
      <c r="M60" s="231">
        <v>25</v>
      </c>
      <c r="N60" s="239" t="s">
        <v>409</v>
      </c>
      <c r="O60" s="25"/>
      <c r="P60" s="25"/>
      <c r="Q60" s="25"/>
      <c r="R60" s="25"/>
      <c r="S60" s="25"/>
      <c r="T60" s="25"/>
    </row>
    <row r="61" spans="1:20">
      <c r="A61" s="25"/>
      <c r="B61" s="235" t="s">
        <v>364</v>
      </c>
      <c r="C61" s="230" t="s">
        <v>123</v>
      </c>
      <c r="D61" s="7" t="s">
        <v>406</v>
      </c>
      <c r="E61" s="231" t="s">
        <v>364</v>
      </c>
      <c r="F61" s="242" t="s">
        <v>396</v>
      </c>
      <c r="G61" s="230">
        <v>1</v>
      </c>
      <c r="H61" s="7">
        <v>3</v>
      </c>
      <c r="I61" s="7" t="s">
        <v>401</v>
      </c>
      <c r="J61" s="7" t="s">
        <v>401</v>
      </c>
      <c r="K61" s="7" t="s">
        <v>401</v>
      </c>
      <c r="L61" s="7">
        <v>2</v>
      </c>
      <c r="M61" s="231" t="s">
        <v>401</v>
      </c>
      <c r="N61" s="239" t="s">
        <v>409</v>
      </c>
      <c r="O61" s="25"/>
      <c r="P61" s="25"/>
      <c r="Q61" s="25"/>
      <c r="R61" s="25"/>
      <c r="S61" s="25"/>
      <c r="T61" s="25"/>
    </row>
    <row r="62" spans="1:20">
      <c r="A62" s="25"/>
      <c r="B62" s="235" t="s">
        <v>365</v>
      </c>
      <c r="C62" s="230" t="s">
        <v>123</v>
      </c>
      <c r="D62" s="7" t="s">
        <v>406</v>
      </c>
      <c r="E62" s="231" t="s">
        <v>365</v>
      </c>
      <c r="F62" s="242" t="s">
        <v>396</v>
      </c>
      <c r="G62" s="230">
        <v>7</v>
      </c>
      <c r="H62" s="7">
        <v>15</v>
      </c>
      <c r="I62" s="7" t="s">
        <v>401</v>
      </c>
      <c r="J62" s="7" t="s">
        <v>401</v>
      </c>
      <c r="K62" s="7" t="s">
        <v>401</v>
      </c>
      <c r="L62" s="7">
        <v>14</v>
      </c>
      <c r="M62" s="231" t="s">
        <v>401</v>
      </c>
      <c r="N62" s="239" t="s">
        <v>409</v>
      </c>
      <c r="O62" s="25"/>
      <c r="P62" s="25"/>
      <c r="Q62" s="25"/>
      <c r="R62" s="25"/>
      <c r="S62" s="25"/>
      <c r="T62" s="25"/>
    </row>
    <row r="63" spans="1:20">
      <c r="A63" s="25"/>
      <c r="B63" s="235" t="s">
        <v>366</v>
      </c>
      <c r="C63" s="230" t="s">
        <v>123</v>
      </c>
      <c r="D63" s="7" t="s">
        <v>406</v>
      </c>
      <c r="E63" s="231" t="s">
        <v>366</v>
      </c>
      <c r="F63" s="242" t="s">
        <v>396</v>
      </c>
      <c r="G63" s="230">
        <v>1</v>
      </c>
      <c r="H63" s="7">
        <v>3</v>
      </c>
      <c r="I63" s="7" t="s">
        <v>401</v>
      </c>
      <c r="J63" s="7" t="s">
        <v>401</v>
      </c>
      <c r="K63" s="7" t="s">
        <v>401</v>
      </c>
      <c r="L63" s="7">
        <v>2</v>
      </c>
      <c r="M63" s="231" t="s">
        <v>401</v>
      </c>
      <c r="N63" s="239" t="s">
        <v>409</v>
      </c>
      <c r="O63" s="25"/>
      <c r="P63" s="25"/>
      <c r="Q63" s="25"/>
      <c r="R63" s="25"/>
      <c r="S63" s="25"/>
      <c r="T63" s="25"/>
    </row>
    <row r="64" spans="1:20">
      <c r="A64" s="25"/>
      <c r="B64" s="235" t="s">
        <v>367</v>
      </c>
      <c r="C64" s="230" t="s">
        <v>123</v>
      </c>
      <c r="D64" s="7" t="s">
        <v>406</v>
      </c>
      <c r="E64" s="231" t="s">
        <v>367</v>
      </c>
      <c r="F64" s="242" t="s">
        <v>396</v>
      </c>
      <c r="G64" s="230">
        <v>3</v>
      </c>
      <c r="H64" s="7">
        <v>6</v>
      </c>
      <c r="I64" s="7" t="s">
        <v>401</v>
      </c>
      <c r="J64" s="7" t="s">
        <v>401</v>
      </c>
      <c r="K64" s="7" t="s">
        <v>401</v>
      </c>
      <c r="L64" s="7">
        <v>4</v>
      </c>
      <c r="M64" s="231" t="s">
        <v>401</v>
      </c>
      <c r="N64" s="239" t="s">
        <v>409</v>
      </c>
      <c r="O64" s="25"/>
      <c r="P64" s="25"/>
      <c r="Q64" s="25"/>
      <c r="R64" s="25"/>
      <c r="S64" s="25"/>
      <c r="T64" s="25"/>
    </row>
    <row r="65" spans="1:20">
      <c r="A65" s="25"/>
      <c r="B65" s="235" t="s">
        <v>368</v>
      </c>
      <c r="C65" s="230" t="s">
        <v>123</v>
      </c>
      <c r="D65" s="7" t="s">
        <v>406</v>
      </c>
      <c r="E65" s="231" t="s">
        <v>368</v>
      </c>
      <c r="F65" s="242" t="s">
        <v>396</v>
      </c>
      <c r="G65" s="230">
        <v>1</v>
      </c>
      <c r="H65" s="7">
        <v>4</v>
      </c>
      <c r="I65" s="7" t="s">
        <v>401</v>
      </c>
      <c r="J65" s="7" t="s">
        <v>401</v>
      </c>
      <c r="K65" s="7" t="s">
        <v>401</v>
      </c>
      <c r="L65" s="7">
        <v>3</v>
      </c>
      <c r="M65" s="231" t="s">
        <v>401</v>
      </c>
      <c r="N65" s="239" t="s">
        <v>409</v>
      </c>
      <c r="O65" s="25"/>
      <c r="P65" s="25"/>
      <c r="Q65" s="25"/>
      <c r="R65" s="25"/>
      <c r="S65" s="25"/>
      <c r="T65" s="25"/>
    </row>
    <row r="66" spans="1:20">
      <c r="A66" s="25"/>
      <c r="B66" s="235" t="s">
        <v>369</v>
      </c>
      <c r="C66" s="230" t="s">
        <v>123</v>
      </c>
      <c r="D66" s="7" t="s">
        <v>406</v>
      </c>
      <c r="E66" s="231" t="s">
        <v>369</v>
      </c>
      <c r="F66" s="242" t="s">
        <v>396</v>
      </c>
      <c r="G66" s="230">
        <v>3</v>
      </c>
      <c r="H66" s="7">
        <v>5</v>
      </c>
      <c r="I66" s="7" t="s">
        <v>401</v>
      </c>
      <c r="J66" s="7" t="s">
        <v>401</v>
      </c>
      <c r="K66" s="7" t="s">
        <v>401</v>
      </c>
      <c r="L66" s="7">
        <v>4</v>
      </c>
      <c r="M66" s="231" t="s">
        <v>401</v>
      </c>
      <c r="N66" s="239" t="s">
        <v>409</v>
      </c>
      <c r="O66" s="25"/>
      <c r="P66" s="25"/>
      <c r="Q66" s="25"/>
      <c r="R66" s="25"/>
      <c r="S66" s="25"/>
      <c r="T66" s="25"/>
    </row>
    <row r="67" spans="1:20">
      <c r="A67" s="25"/>
      <c r="B67" s="235" t="s">
        <v>370</v>
      </c>
      <c r="C67" s="230" t="s">
        <v>123</v>
      </c>
      <c r="D67" s="7" t="s">
        <v>406</v>
      </c>
      <c r="E67" s="231" t="s">
        <v>370</v>
      </c>
      <c r="F67" s="242" t="s">
        <v>396</v>
      </c>
      <c r="G67" s="230">
        <v>3</v>
      </c>
      <c r="H67" s="7">
        <v>5</v>
      </c>
      <c r="I67" s="7" t="s">
        <v>401</v>
      </c>
      <c r="J67" s="7" t="s">
        <v>401</v>
      </c>
      <c r="K67" s="7" t="s">
        <v>401</v>
      </c>
      <c r="L67" s="7">
        <v>2</v>
      </c>
      <c r="M67" s="231" t="s">
        <v>401</v>
      </c>
      <c r="N67" s="239" t="s">
        <v>409</v>
      </c>
      <c r="O67" s="25"/>
      <c r="P67" s="25"/>
      <c r="Q67" s="25"/>
      <c r="R67" s="25"/>
      <c r="S67" s="25"/>
      <c r="T67" s="25"/>
    </row>
    <row r="68" spans="1:20">
      <c r="A68" s="25"/>
      <c r="B68" s="235" t="s">
        <v>371</v>
      </c>
      <c r="C68" s="230" t="s">
        <v>123</v>
      </c>
      <c r="D68" s="7" t="s">
        <v>406</v>
      </c>
      <c r="E68" s="231" t="s">
        <v>371</v>
      </c>
      <c r="F68" s="242" t="s">
        <v>396</v>
      </c>
      <c r="G68" s="230">
        <v>10</v>
      </c>
      <c r="H68" s="7">
        <v>20</v>
      </c>
      <c r="I68" s="7" t="s">
        <v>401</v>
      </c>
      <c r="J68" s="7" t="s">
        <v>401</v>
      </c>
      <c r="K68" s="7" t="s">
        <v>401</v>
      </c>
      <c r="L68" s="7">
        <v>20</v>
      </c>
      <c r="M68" s="231" t="s">
        <v>401</v>
      </c>
      <c r="N68" s="239" t="s">
        <v>409</v>
      </c>
      <c r="O68" s="25"/>
      <c r="P68" s="25"/>
      <c r="Q68" s="25"/>
      <c r="R68" s="25"/>
      <c r="S68" s="25"/>
      <c r="T68" s="25"/>
    </row>
    <row r="69" spans="1:20">
      <c r="A69" s="25"/>
      <c r="B69" s="235" t="s">
        <v>372</v>
      </c>
      <c r="C69" s="230" t="s">
        <v>123</v>
      </c>
      <c r="D69" s="7" t="s">
        <v>406</v>
      </c>
      <c r="E69" s="231" t="s">
        <v>372</v>
      </c>
      <c r="F69" s="242" t="s">
        <v>396</v>
      </c>
      <c r="G69" s="230">
        <v>5</v>
      </c>
      <c r="H69" s="7">
        <v>15</v>
      </c>
      <c r="I69" s="7" t="s">
        <v>401</v>
      </c>
      <c r="J69" s="7" t="s">
        <v>401</v>
      </c>
      <c r="K69" s="7" t="s">
        <v>401</v>
      </c>
      <c r="L69" s="7">
        <v>6</v>
      </c>
      <c r="M69" s="231" t="s">
        <v>401</v>
      </c>
      <c r="N69" s="239" t="s">
        <v>409</v>
      </c>
      <c r="O69" s="25"/>
      <c r="P69" s="25"/>
      <c r="Q69" s="25"/>
      <c r="R69" s="25"/>
      <c r="S69" s="25"/>
      <c r="T69" s="25"/>
    </row>
    <row r="70" spans="1:20">
      <c r="A70" s="25"/>
      <c r="B70" s="235" t="s">
        <v>373</v>
      </c>
      <c r="C70" s="230" t="s">
        <v>123</v>
      </c>
      <c r="D70" s="7" t="s">
        <v>406</v>
      </c>
      <c r="E70" s="231" t="s">
        <v>373</v>
      </c>
      <c r="F70" s="242" t="s">
        <v>396</v>
      </c>
      <c r="G70" s="230">
        <v>1</v>
      </c>
      <c r="H70" s="7">
        <v>4</v>
      </c>
      <c r="I70" s="7" t="s">
        <v>401</v>
      </c>
      <c r="J70" s="7" t="s">
        <v>401</v>
      </c>
      <c r="K70" s="7" t="s">
        <v>401</v>
      </c>
      <c r="L70" s="7">
        <v>3</v>
      </c>
      <c r="M70" s="231" t="s">
        <v>401</v>
      </c>
      <c r="N70" s="239" t="s">
        <v>409</v>
      </c>
      <c r="O70" s="25"/>
      <c r="P70" s="25"/>
      <c r="Q70" s="25"/>
      <c r="R70" s="25"/>
      <c r="S70" s="25"/>
      <c r="T70" s="25"/>
    </row>
    <row r="71" spans="1:20">
      <c r="A71" s="25"/>
      <c r="B71" s="235" t="s">
        <v>374</v>
      </c>
      <c r="C71" s="230" t="s">
        <v>123</v>
      </c>
      <c r="D71" s="7" t="s">
        <v>406</v>
      </c>
      <c r="E71" s="231" t="s">
        <v>421</v>
      </c>
      <c r="F71" s="242" t="s">
        <v>396</v>
      </c>
      <c r="G71" s="230">
        <v>5</v>
      </c>
      <c r="H71" s="7">
        <v>15</v>
      </c>
      <c r="I71" s="7" t="s">
        <v>401</v>
      </c>
      <c r="J71" s="7" t="s">
        <v>401</v>
      </c>
      <c r="K71" s="7" t="s">
        <v>401</v>
      </c>
      <c r="L71" s="7">
        <v>8</v>
      </c>
      <c r="M71" s="231" t="s">
        <v>401</v>
      </c>
      <c r="N71" s="239" t="s">
        <v>422</v>
      </c>
      <c r="O71" s="25"/>
      <c r="P71" s="25"/>
      <c r="Q71" s="25"/>
      <c r="R71" s="25"/>
      <c r="S71" s="25"/>
      <c r="T71" s="25"/>
    </row>
    <row r="72" spans="1:20">
      <c r="A72" s="25"/>
      <c r="B72" s="235" t="s">
        <v>375</v>
      </c>
      <c r="C72" s="230" t="s">
        <v>123</v>
      </c>
      <c r="D72" s="7" t="s">
        <v>406</v>
      </c>
      <c r="E72" s="231" t="s">
        <v>423</v>
      </c>
      <c r="F72" s="242" t="s">
        <v>396</v>
      </c>
      <c r="G72" s="230">
        <v>4</v>
      </c>
      <c r="H72" s="7">
        <v>13</v>
      </c>
      <c r="I72" s="7" t="s">
        <v>401</v>
      </c>
      <c r="J72" s="7" t="s">
        <v>401</v>
      </c>
      <c r="K72" s="7" t="s">
        <v>401</v>
      </c>
      <c r="L72" s="7">
        <v>7</v>
      </c>
      <c r="M72" s="231" t="s">
        <v>401</v>
      </c>
      <c r="N72" s="239" t="s">
        <v>422</v>
      </c>
      <c r="O72" s="25"/>
      <c r="P72" s="25"/>
      <c r="Q72" s="25"/>
      <c r="R72" s="25"/>
      <c r="S72" s="25"/>
      <c r="T72" s="25"/>
    </row>
    <row r="73" spans="1:20">
      <c r="A73" s="25"/>
      <c r="B73" s="235" t="s">
        <v>376</v>
      </c>
      <c r="C73" s="230" t="s">
        <v>123</v>
      </c>
      <c r="D73" s="7" t="s">
        <v>406</v>
      </c>
      <c r="E73" s="231" t="s">
        <v>376</v>
      </c>
      <c r="F73" s="242" t="s">
        <v>396</v>
      </c>
      <c r="G73" s="230">
        <v>4</v>
      </c>
      <c r="H73" s="7">
        <v>13</v>
      </c>
      <c r="I73" s="7" t="s">
        <v>401</v>
      </c>
      <c r="J73" s="7" t="s">
        <v>401</v>
      </c>
      <c r="K73" s="7" t="s">
        <v>401</v>
      </c>
      <c r="L73" s="7">
        <v>7</v>
      </c>
      <c r="M73" s="231">
        <v>13</v>
      </c>
      <c r="N73" s="239" t="s">
        <v>409</v>
      </c>
      <c r="O73" s="25"/>
      <c r="P73" s="25"/>
      <c r="Q73" s="25"/>
      <c r="R73" s="25"/>
      <c r="S73" s="25"/>
      <c r="T73" s="25"/>
    </row>
    <row r="74" spans="1:20">
      <c r="A74" s="25"/>
      <c r="B74" s="235" t="s">
        <v>242</v>
      </c>
      <c r="C74" s="230" t="s">
        <v>123</v>
      </c>
      <c r="D74" s="7" t="s">
        <v>406</v>
      </c>
      <c r="E74" s="231" t="s">
        <v>242</v>
      </c>
      <c r="F74" s="242" t="s">
        <v>396</v>
      </c>
      <c r="G74" s="230">
        <v>5</v>
      </c>
      <c r="H74" s="7">
        <v>12</v>
      </c>
      <c r="I74" s="7" t="s">
        <v>401</v>
      </c>
      <c r="J74" s="7" t="s">
        <v>401</v>
      </c>
      <c r="K74" s="7" t="s">
        <v>401</v>
      </c>
      <c r="L74" s="7">
        <v>2</v>
      </c>
      <c r="M74" s="237">
        <v>5</v>
      </c>
      <c r="N74" s="239" t="s">
        <v>409</v>
      </c>
      <c r="O74" s="25"/>
      <c r="P74" s="25"/>
      <c r="Q74" s="25"/>
      <c r="R74" s="25"/>
      <c r="S74" s="25"/>
      <c r="T74" s="25"/>
    </row>
    <row r="75" spans="1:20">
      <c r="A75" s="25"/>
      <c r="B75" s="235" t="s">
        <v>243</v>
      </c>
      <c r="C75" s="230" t="s">
        <v>123</v>
      </c>
      <c r="D75" s="7" t="s">
        <v>406</v>
      </c>
      <c r="E75" s="231" t="s">
        <v>243</v>
      </c>
      <c r="F75" s="242" t="s">
        <v>396</v>
      </c>
      <c r="G75" s="230">
        <v>5</v>
      </c>
      <c r="H75" s="7">
        <v>12</v>
      </c>
      <c r="I75" s="7" t="s">
        <v>401</v>
      </c>
      <c r="J75" s="7" t="s">
        <v>401</v>
      </c>
      <c r="K75" s="7" t="s">
        <v>401</v>
      </c>
      <c r="L75" s="7">
        <v>2</v>
      </c>
      <c r="M75" s="237">
        <v>6</v>
      </c>
      <c r="N75" s="239" t="s">
        <v>409</v>
      </c>
      <c r="O75" s="25"/>
      <c r="P75" s="25"/>
      <c r="Q75" s="25"/>
      <c r="R75" s="25"/>
      <c r="S75" s="25"/>
      <c r="T75" s="25"/>
    </row>
    <row r="76" spans="1:20">
      <c r="A76" s="25"/>
      <c r="B76" s="235" t="s">
        <v>244</v>
      </c>
      <c r="C76" s="230" t="s">
        <v>123</v>
      </c>
      <c r="D76" s="7" t="s">
        <v>406</v>
      </c>
      <c r="E76" s="231" t="s">
        <v>244</v>
      </c>
      <c r="F76" s="242" t="s">
        <v>396</v>
      </c>
      <c r="G76" s="230">
        <v>10</v>
      </c>
      <c r="H76" s="7">
        <v>20</v>
      </c>
      <c r="I76" s="7" t="s">
        <v>401</v>
      </c>
      <c r="J76" s="7" t="s">
        <v>401</v>
      </c>
      <c r="K76" s="7" t="s">
        <v>401</v>
      </c>
      <c r="L76" s="7">
        <v>4</v>
      </c>
      <c r="M76" s="237">
        <v>12</v>
      </c>
      <c r="N76" s="239" t="s">
        <v>409</v>
      </c>
      <c r="O76" s="25"/>
      <c r="P76" s="25"/>
      <c r="Q76" s="25"/>
      <c r="R76" s="25"/>
      <c r="S76" s="25"/>
      <c r="T76" s="25"/>
    </row>
    <row r="77" spans="1:20">
      <c r="A77" s="25"/>
      <c r="B77" s="235" t="s">
        <v>248</v>
      </c>
      <c r="C77" s="230" t="s">
        <v>123</v>
      </c>
      <c r="D77" s="7" t="s">
        <v>406</v>
      </c>
      <c r="E77" s="231" t="s">
        <v>424</v>
      </c>
      <c r="F77" s="242" t="s">
        <v>396</v>
      </c>
      <c r="G77" s="230">
        <v>5</v>
      </c>
      <c r="H77" s="7">
        <v>12</v>
      </c>
      <c r="I77" s="7" t="s">
        <v>401</v>
      </c>
      <c r="J77" s="7" t="s">
        <v>401</v>
      </c>
      <c r="K77" s="7" t="s">
        <v>401</v>
      </c>
      <c r="L77" s="7">
        <v>2</v>
      </c>
      <c r="M77" s="237" t="s">
        <v>401</v>
      </c>
      <c r="N77" s="239" t="s">
        <v>425</v>
      </c>
      <c r="O77" s="25"/>
      <c r="P77" s="25"/>
      <c r="Q77" s="25"/>
      <c r="R77" s="25"/>
      <c r="S77" s="25"/>
      <c r="T77" s="25"/>
    </row>
    <row r="78" spans="1:20">
      <c r="A78" s="25"/>
      <c r="B78" s="235" t="s">
        <v>252</v>
      </c>
      <c r="C78" s="340" t="s">
        <v>397</v>
      </c>
      <c r="D78" s="9" t="s">
        <v>397</v>
      </c>
      <c r="E78" s="237" t="s">
        <v>400</v>
      </c>
      <c r="F78" s="242" t="s">
        <v>401</v>
      </c>
      <c r="G78" s="230" t="s">
        <v>401</v>
      </c>
      <c r="H78" s="7" t="s">
        <v>401</v>
      </c>
      <c r="I78" s="7">
        <v>1</v>
      </c>
      <c r="J78" s="7" t="s">
        <v>401</v>
      </c>
      <c r="K78" s="7" t="s">
        <v>401</v>
      </c>
      <c r="L78" s="7" t="s">
        <v>401</v>
      </c>
      <c r="M78" s="237" t="s">
        <v>401</v>
      </c>
      <c r="N78" s="239" t="s">
        <v>400</v>
      </c>
      <c r="O78" s="25"/>
      <c r="P78" s="25"/>
      <c r="Q78" s="25"/>
      <c r="R78" s="25"/>
      <c r="S78" s="25"/>
      <c r="T78" s="25"/>
    </row>
    <row r="79" spans="1:20" ht="28.8">
      <c r="A79" s="25"/>
      <c r="B79" s="235" t="s">
        <v>249</v>
      </c>
      <c r="C79" s="230" t="s">
        <v>123</v>
      </c>
      <c r="D79" s="7" t="s">
        <v>406</v>
      </c>
      <c r="E79" s="237" t="s">
        <v>426</v>
      </c>
      <c r="F79" s="242" t="s">
        <v>396</v>
      </c>
      <c r="G79" s="230">
        <v>20</v>
      </c>
      <c r="H79" s="7" t="s">
        <v>418</v>
      </c>
      <c r="I79" s="7" t="s">
        <v>401</v>
      </c>
      <c r="J79" s="7" t="s">
        <v>401</v>
      </c>
      <c r="K79" s="7" t="s">
        <v>427</v>
      </c>
      <c r="L79" s="7">
        <v>10</v>
      </c>
      <c r="M79" s="237" t="s">
        <v>427</v>
      </c>
      <c r="N79" s="239" t="s">
        <v>428</v>
      </c>
      <c r="O79" s="25"/>
      <c r="P79" s="25"/>
      <c r="Q79" s="25"/>
      <c r="R79" s="25"/>
      <c r="S79" s="25"/>
      <c r="T79" s="25"/>
    </row>
    <row r="80" spans="1:20">
      <c r="A80" s="25"/>
      <c r="B80" s="235" t="s">
        <v>245</v>
      </c>
      <c r="C80" s="230" t="s">
        <v>123</v>
      </c>
      <c r="D80" s="7" t="s">
        <v>406</v>
      </c>
      <c r="E80" s="231" t="s">
        <v>429</v>
      </c>
      <c r="F80" s="242" t="s">
        <v>396</v>
      </c>
      <c r="G80" s="230">
        <v>20</v>
      </c>
      <c r="H80" s="7" t="s">
        <v>418</v>
      </c>
      <c r="I80" s="7" t="s">
        <v>401</v>
      </c>
      <c r="J80" s="7" t="s">
        <v>401</v>
      </c>
      <c r="K80" s="7" t="s">
        <v>401</v>
      </c>
      <c r="L80" s="7">
        <v>10</v>
      </c>
      <c r="M80" s="237" t="s">
        <v>401</v>
      </c>
      <c r="N80" s="239" t="s">
        <v>430</v>
      </c>
      <c r="O80" s="25"/>
      <c r="P80" s="25"/>
      <c r="Q80" s="25"/>
      <c r="R80" s="25"/>
      <c r="S80" s="25"/>
      <c r="T80" s="25"/>
    </row>
    <row r="81" spans="1:20" ht="28.8">
      <c r="A81" s="25"/>
      <c r="B81" s="235" t="s">
        <v>250</v>
      </c>
      <c r="C81" s="230" t="s">
        <v>123</v>
      </c>
      <c r="D81" s="7" t="s">
        <v>406</v>
      </c>
      <c r="E81" s="237" t="s">
        <v>431</v>
      </c>
      <c r="F81" s="242" t="s">
        <v>396</v>
      </c>
      <c r="G81" s="230">
        <v>20</v>
      </c>
      <c r="H81" s="7" t="s">
        <v>418</v>
      </c>
      <c r="I81" s="7" t="s">
        <v>401</v>
      </c>
      <c r="J81" s="7" t="s">
        <v>401</v>
      </c>
      <c r="K81" s="7" t="s">
        <v>401</v>
      </c>
      <c r="L81" s="7">
        <v>10</v>
      </c>
      <c r="M81" s="237">
        <v>10</v>
      </c>
      <c r="N81" s="239" t="s">
        <v>428</v>
      </c>
      <c r="O81" s="25"/>
      <c r="P81" s="25"/>
      <c r="Q81" s="25"/>
      <c r="R81" s="25"/>
      <c r="S81" s="25"/>
      <c r="T81" s="25"/>
    </row>
    <row r="82" spans="1:20">
      <c r="A82" s="25"/>
      <c r="B82" s="235" t="s">
        <v>246</v>
      </c>
      <c r="C82" s="230" t="s">
        <v>123</v>
      </c>
      <c r="D82" s="7" t="s">
        <v>406</v>
      </c>
      <c r="E82" s="231" t="s">
        <v>432</v>
      </c>
      <c r="F82" s="242" t="s">
        <v>396</v>
      </c>
      <c r="G82" s="230">
        <v>20</v>
      </c>
      <c r="H82" s="7" t="s">
        <v>418</v>
      </c>
      <c r="I82" s="7" t="s">
        <v>401</v>
      </c>
      <c r="J82" s="7" t="s">
        <v>401</v>
      </c>
      <c r="K82" s="7" t="s">
        <v>401</v>
      </c>
      <c r="L82" s="7">
        <v>10</v>
      </c>
      <c r="M82" s="237">
        <v>10</v>
      </c>
      <c r="N82" s="239" t="s">
        <v>409</v>
      </c>
      <c r="O82" s="25"/>
      <c r="P82" s="25"/>
      <c r="Q82" s="25"/>
      <c r="R82" s="25"/>
      <c r="S82" s="25"/>
      <c r="T82" s="25"/>
    </row>
    <row r="83" spans="1:20">
      <c r="A83" s="25"/>
      <c r="B83" s="235" t="s">
        <v>269</v>
      </c>
      <c r="C83" s="230" t="s">
        <v>123</v>
      </c>
      <c r="D83" s="7" t="s">
        <v>406</v>
      </c>
      <c r="E83" s="231" t="s">
        <v>269</v>
      </c>
      <c r="F83" s="242" t="s">
        <v>396</v>
      </c>
      <c r="G83" s="230">
        <v>5</v>
      </c>
      <c r="H83" s="7">
        <v>10</v>
      </c>
      <c r="I83" s="7" t="s">
        <v>401</v>
      </c>
      <c r="J83" s="7" t="s">
        <v>401</v>
      </c>
      <c r="K83" s="7" t="s">
        <v>401</v>
      </c>
      <c r="L83" s="7">
        <v>4</v>
      </c>
      <c r="M83" s="237">
        <v>10</v>
      </c>
      <c r="N83" s="239" t="s">
        <v>409</v>
      </c>
      <c r="O83" s="25"/>
      <c r="P83" s="25"/>
      <c r="Q83" s="25"/>
      <c r="R83" s="25"/>
      <c r="S83" s="25"/>
      <c r="T83" s="25"/>
    </row>
    <row r="84" spans="1:20">
      <c r="A84" s="25"/>
      <c r="B84" s="235" t="s">
        <v>268</v>
      </c>
      <c r="C84" s="230" t="s">
        <v>123</v>
      </c>
      <c r="D84" s="7" t="s">
        <v>406</v>
      </c>
      <c r="E84" s="231" t="s">
        <v>268</v>
      </c>
      <c r="F84" s="242" t="s">
        <v>396</v>
      </c>
      <c r="G84" s="230">
        <v>5</v>
      </c>
      <c r="H84" s="7">
        <v>10</v>
      </c>
      <c r="I84" s="7" t="s">
        <v>401</v>
      </c>
      <c r="J84" s="7" t="s">
        <v>401</v>
      </c>
      <c r="K84" s="7" t="s">
        <v>401</v>
      </c>
      <c r="L84" s="7">
        <v>4</v>
      </c>
      <c r="M84" s="237">
        <v>10</v>
      </c>
      <c r="N84" s="239" t="s">
        <v>409</v>
      </c>
      <c r="O84" s="25"/>
      <c r="P84" s="25"/>
      <c r="Q84" s="25"/>
      <c r="R84" s="25"/>
      <c r="S84" s="25"/>
      <c r="T84" s="25"/>
    </row>
    <row r="85" spans="1:20">
      <c r="A85" s="25"/>
      <c r="B85" s="235" t="s">
        <v>270</v>
      </c>
      <c r="C85" s="340" t="s">
        <v>397</v>
      </c>
      <c r="D85" s="9" t="s">
        <v>397</v>
      </c>
      <c r="E85" s="237" t="s">
        <v>433</v>
      </c>
      <c r="F85" s="242" t="s">
        <v>401</v>
      </c>
      <c r="G85" s="230" t="s">
        <v>401</v>
      </c>
      <c r="H85" s="7" t="s">
        <v>401</v>
      </c>
      <c r="I85" s="7">
        <v>1</v>
      </c>
      <c r="J85" s="7" t="s">
        <v>401</v>
      </c>
      <c r="K85" s="7" t="s">
        <v>401</v>
      </c>
      <c r="L85" s="7" t="s">
        <v>401</v>
      </c>
      <c r="M85" s="237" t="s">
        <v>401</v>
      </c>
      <c r="N85" s="239" t="s">
        <v>434</v>
      </c>
      <c r="O85" s="25"/>
      <c r="P85" s="25"/>
      <c r="Q85" s="25"/>
      <c r="R85" s="25"/>
      <c r="S85" s="25"/>
      <c r="T85" s="25"/>
    </row>
    <row r="86" spans="1:20">
      <c r="A86" s="25"/>
      <c r="B86" s="235"/>
      <c r="C86" s="230"/>
      <c r="D86" s="7"/>
      <c r="E86" s="231"/>
      <c r="F86" s="242"/>
      <c r="G86" s="230"/>
      <c r="H86" s="7"/>
      <c r="I86" s="7"/>
      <c r="J86" s="7"/>
      <c r="K86" s="7"/>
      <c r="L86" s="7"/>
      <c r="M86" s="231"/>
      <c r="N86" s="235"/>
      <c r="O86" s="25"/>
      <c r="P86" s="25"/>
      <c r="Q86" s="25"/>
      <c r="R86" s="25"/>
      <c r="S86" s="25"/>
      <c r="T86" s="25"/>
    </row>
    <row r="87" spans="1:20">
      <c r="A87" s="25"/>
      <c r="B87" s="235"/>
      <c r="C87" s="230"/>
      <c r="D87" s="7"/>
      <c r="E87" s="231"/>
      <c r="F87" s="242"/>
      <c r="G87" s="230"/>
      <c r="H87" s="7"/>
      <c r="I87" s="7"/>
      <c r="J87" s="7"/>
      <c r="K87" s="7"/>
      <c r="L87" s="7"/>
      <c r="M87" s="231"/>
      <c r="N87" s="235"/>
      <c r="O87" s="25"/>
      <c r="P87" s="25"/>
      <c r="Q87" s="25"/>
      <c r="R87" s="25"/>
      <c r="S87" s="25"/>
      <c r="T87" s="25"/>
    </row>
    <row r="88" spans="1:20">
      <c r="A88" s="25"/>
      <c r="B88" s="235"/>
      <c r="C88" s="230"/>
      <c r="D88" s="7"/>
      <c r="E88" s="231"/>
      <c r="F88" s="242"/>
      <c r="G88" s="230"/>
      <c r="H88" s="7"/>
      <c r="I88" s="7"/>
      <c r="J88" s="7"/>
      <c r="K88" s="7"/>
      <c r="L88" s="7"/>
      <c r="M88" s="231"/>
      <c r="N88" s="235"/>
      <c r="O88" s="25"/>
      <c r="P88" s="25"/>
      <c r="Q88" s="25"/>
      <c r="R88" s="25"/>
      <c r="S88" s="25"/>
      <c r="T88" s="25"/>
    </row>
    <row r="89" spans="1:20">
      <c r="A89" s="25"/>
      <c r="B89" s="235"/>
      <c r="C89" s="230"/>
      <c r="D89" s="7"/>
      <c r="E89" s="231"/>
      <c r="F89" s="242"/>
      <c r="G89" s="230"/>
      <c r="H89" s="7"/>
      <c r="I89" s="7"/>
      <c r="J89" s="7"/>
      <c r="K89" s="7"/>
      <c r="L89" s="7"/>
      <c r="M89" s="231"/>
      <c r="N89" s="235"/>
      <c r="O89" s="25"/>
      <c r="P89" s="25"/>
      <c r="Q89" s="25"/>
      <c r="R89" s="25"/>
      <c r="S89" s="25"/>
      <c r="T89" s="25"/>
    </row>
    <row r="90" spans="1:20">
      <c r="A90" s="25"/>
      <c r="B90" s="235"/>
      <c r="C90" s="230"/>
      <c r="D90" s="7"/>
      <c r="E90" s="231"/>
      <c r="F90" s="242"/>
      <c r="G90" s="230"/>
      <c r="H90" s="7"/>
      <c r="I90" s="7"/>
      <c r="J90" s="7"/>
      <c r="K90" s="7"/>
      <c r="L90" s="7"/>
      <c r="M90" s="231"/>
      <c r="N90" s="235"/>
      <c r="O90" s="25"/>
      <c r="P90" s="25"/>
      <c r="Q90" s="25"/>
      <c r="R90" s="25"/>
      <c r="S90" s="25"/>
      <c r="T90" s="25"/>
    </row>
    <row r="91" spans="1:20">
      <c r="A91" s="25"/>
      <c r="B91" s="235"/>
      <c r="C91" s="230"/>
      <c r="D91" s="7"/>
      <c r="E91" s="231"/>
      <c r="F91" s="242"/>
      <c r="G91" s="230"/>
      <c r="H91" s="7"/>
      <c r="I91" s="7"/>
      <c r="J91" s="7"/>
      <c r="K91" s="7"/>
      <c r="L91" s="7"/>
      <c r="M91" s="231"/>
      <c r="N91" s="235"/>
      <c r="O91" s="25"/>
      <c r="P91" s="25"/>
      <c r="Q91" s="25"/>
      <c r="R91" s="25"/>
      <c r="S91" s="25"/>
      <c r="T91" s="25"/>
    </row>
    <row r="92" spans="1:20">
      <c r="A92" s="25"/>
      <c r="B92" s="235"/>
      <c r="C92" s="230"/>
      <c r="D92" s="7"/>
      <c r="E92" s="231"/>
      <c r="F92" s="242"/>
      <c r="G92" s="230"/>
      <c r="H92" s="7"/>
      <c r="I92" s="7"/>
      <c r="J92" s="7"/>
      <c r="K92" s="7"/>
      <c r="L92" s="7"/>
      <c r="M92" s="231"/>
      <c r="N92" s="235"/>
      <c r="O92" s="25"/>
      <c r="P92" s="25"/>
      <c r="Q92" s="25"/>
      <c r="R92" s="25"/>
      <c r="S92" s="25"/>
      <c r="T92" s="25"/>
    </row>
    <row r="93" spans="1:20">
      <c r="A93" s="25"/>
      <c r="B93" s="235"/>
      <c r="C93" s="230"/>
      <c r="D93" s="7"/>
      <c r="E93" s="231"/>
      <c r="F93" s="242"/>
      <c r="G93" s="230"/>
      <c r="H93" s="7"/>
      <c r="I93" s="7"/>
      <c r="J93" s="7"/>
      <c r="K93" s="7"/>
      <c r="L93" s="7"/>
      <c r="M93" s="231"/>
      <c r="N93" s="235"/>
      <c r="O93" s="25"/>
      <c r="P93" s="25"/>
      <c r="Q93" s="25"/>
      <c r="R93" s="25"/>
      <c r="S93" s="25"/>
      <c r="T93" s="25"/>
    </row>
    <row r="94" spans="1:20">
      <c r="A94" s="25"/>
      <c r="B94" s="235"/>
      <c r="C94" s="230"/>
      <c r="D94" s="7"/>
      <c r="E94" s="231"/>
      <c r="F94" s="242"/>
      <c r="G94" s="230"/>
      <c r="H94" s="7"/>
      <c r="I94" s="7"/>
      <c r="J94" s="7"/>
      <c r="K94" s="7"/>
      <c r="L94" s="7"/>
      <c r="M94" s="231"/>
      <c r="N94" s="235"/>
      <c r="O94" s="25"/>
      <c r="P94" s="25"/>
      <c r="Q94" s="25"/>
      <c r="R94" s="25"/>
      <c r="S94" s="25"/>
      <c r="T94" s="25"/>
    </row>
    <row r="95" spans="1:20">
      <c r="A95" s="25"/>
      <c r="B95" s="235"/>
      <c r="C95" s="230"/>
      <c r="D95" s="7"/>
      <c r="E95" s="231"/>
      <c r="F95" s="242"/>
      <c r="G95" s="230"/>
      <c r="H95" s="7"/>
      <c r="I95" s="7"/>
      <c r="J95" s="7"/>
      <c r="K95" s="7"/>
      <c r="L95" s="7"/>
      <c r="M95" s="231"/>
      <c r="N95" s="235"/>
      <c r="O95" s="25"/>
      <c r="P95" s="25"/>
      <c r="Q95" s="25"/>
      <c r="R95" s="25"/>
      <c r="S95" s="25"/>
      <c r="T95" s="25"/>
    </row>
    <row r="96" spans="1:20">
      <c r="A96" s="25"/>
      <c r="B96" s="235"/>
      <c r="C96" s="230"/>
      <c r="D96" s="7"/>
      <c r="E96" s="231"/>
      <c r="F96" s="242"/>
      <c r="G96" s="230"/>
      <c r="H96" s="7"/>
      <c r="I96" s="7"/>
      <c r="J96" s="7"/>
      <c r="K96" s="7"/>
      <c r="L96" s="7"/>
      <c r="M96" s="231"/>
      <c r="N96" s="235"/>
      <c r="O96" s="25"/>
      <c r="P96" s="25"/>
      <c r="Q96" s="25"/>
      <c r="R96" s="25"/>
      <c r="S96" s="25"/>
      <c r="T96" s="25"/>
    </row>
    <row r="97" spans="1:20">
      <c r="A97" s="25"/>
      <c r="B97" s="235"/>
      <c r="C97" s="230"/>
      <c r="D97" s="7"/>
      <c r="E97" s="231"/>
      <c r="F97" s="242"/>
      <c r="G97" s="230"/>
      <c r="H97" s="7"/>
      <c r="I97" s="7"/>
      <c r="J97" s="7"/>
      <c r="K97" s="7"/>
      <c r="L97" s="7"/>
      <c r="M97" s="231"/>
      <c r="N97" s="235"/>
      <c r="O97" s="25"/>
      <c r="P97" s="25"/>
      <c r="Q97" s="25"/>
      <c r="R97" s="25"/>
      <c r="S97" s="25"/>
      <c r="T97" s="25"/>
    </row>
    <row r="98" spans="1:20">
      <c r="A98" s="25"/>
      <c r="B98" s="235"/>
      <c r="C98" s="230"/>
      <c r="D98" s="7"/>
      <c r="E98" s="231"/>
      <c r="F98" s="242"/>
      <c r="G98" s="230"/>
      <c r="H98" s="7"/>
      <c r="I98" s="7"/>
      <c r="J98" s="7"/>
      <c r="K98" s="7"/>
      <c r="L98" s="7"/>
      <c r="M98" s="231"/>
      <c r="N98" s="235"/>
      <c r="O98" s="25"/>
      <c r="P98" s="25"/>
      <c r="Q98" s="25"/>
      <c r="R98" s="25"/>
      <c r="S98" s="25"/>
      <c r="T98" s="25"/>
    </row>
    <row r="99" spans="1:20">
      <c r="A99" s="25"/>
      <c r="B99" s="235"/>
      <c r="C99" s="230"/>
      <c r="D99" s="7"/>
      <c r="E99" s="231"/>
      <c r="F99" s="242"/>
      <c r="G99" s="230"/>
      <c r="H99" s="7"/>
      <c r="I99" s="7"/>
      <c r="J99" s="7"/>
      <c r="K99" s="7"/>
      <c r="L99" s="7"/>
      <c r="M99" s="231"/>
      <c r="N99" s="235"/>
      <c r="O99" s="25"/>
      <c r="P99" s="25"/>
      <c r="Q99" s="25"/>
      <c r="R99" s="25"/>
      <c r="S99" s="25"/>
      <c r="T99" s="25"/>
    </row>
    <row r="100" spans="1:20">
      <c r="A100" s="25"/>
      <c r="B100" s="235"/>
      <c r="C100" s="230"/>
      <c r="D100" s="7"/>
      <c r="E100" s="231"/>
      <c r="F100" s="242"/>
      <c r="G100" s="230"/>
      <c r="H100" s="7"/>
      <c r="I100" s="7"/>
      <c r="J100" s="7"/>
      <c r="K100" s="7"/>
      <c r="L100" s="7"/>
      <c r="M100" s="231"/>
      <c r="N100" s="235"/>
      <c r="O100" s="25"/>
      <c r="P100" s="25"/>
      <c r="Q100" s="25"/>
      <c r="R100" s="25"/>
      <c r="S100" s="25"/>
      <c r="T100" s="25"/>
    </row>
    <row r="101" spans="1:20">
      <c r="A101" s="25"/>
      <c r="B101" s="235"/>
      <c r="C101" s="230"/>
      <c r="D101" s="7"/>
      <c r="E101" s="231"/>
      <c r="F101" s="242"/>
      <c r="G101" s="230"/>
      <c r="H101" s="7"/>
      <c r="I101" s="7"/>
      <c r="J101" s="7"/>
      <c r="K101" s="7"/>
      <c r="L101" s="7"/>
      <c r="M101" s="231"/>
      <c r="N101" s="235"/>
      <c r="O101" s="25"/>
      <c r="P101" s="25"/>
      <c r="Q101" s="25"/>
      <c r="R101" s="25"/>
      <c r="S101" s="25"/>
      <c r="T101" s="25"/>
    </row>
    <row r="102" spans="1:20">
      <c r="A102" s="25"/>
      <c r="B102" s="235"/>
      <c r="C102" s="230"/>
      <c r="D102" s="7"/>
      <c r="E102" s="231"/>
      <c r="F102" s="242"/>
      <c r="G102" s="230"/>
      <c r="H102" s="7"/>
      <c r="I102" s="7"/>
      <c r="J102" s="7"/>
      <c r="K102" s="7"/>
      <c r="L102" s="7"/>
      <c r="M102" s="231"/>
      <c r="N102" s="235"/>
      <c r="O102" s="25"/>
      <c r="P102" s="25"/>
      <c r="Q102" s="25"/>
      <c r="R102" s="25"/>
      <c r="S102" s="25"/>
      <c r="T102" s="25"/>
    </row>
    <row r="103" spans="1:20">
      <c r="A103" s="25"/>
      <c r="B103" s="235"/>
      <c r="C103" s="230"/>
      <c r="D103" s="7"/>
      <c r="E103" s="231"/>
      <c r="F103" s="242"/>
      <c r="G103" s="230"/>
      <c r="H103" s="7"/>
      <c r="I103" s="7"/>
      <c r="J103" s="7"/>
      <c r="K103" s="7"/>
      <c r="L103" s="7"/>
      <c r="M103" s="231"/>
      <c r="N103" s="235"/>
      <c r="O103" s="25"/>
      <c r="P103" s="25"/>
      <c r="Q103" s="25"/>
      <c r="R103" s="25"/>
      <c r="S103" s="25"/>
      <c r="T103" s="25"/>
    </row>
    <row r="104" spans="1:20">
      <c r="A104" s="25"/>
      <c r="B104" s="235"/>
      <c r="C104" s="230"/>
      <c r="D104" s="7"/>
      <c r="E104" s="231"/>
      <c r="F104" s="242"/>
      <c r="G104" s="230"/>
      <c r="H104" s="7"/>
      <c r="I104" s="7"/>
      <c r="J104" s="7"/>
      <c r="K104" s="7"/>
      <c r="L104" s="7"/>
      <c r="M104" s="231"/>
      <c r="N104" s="235"/>
      <c r="O104" s="25"/>
      <c r="P104" s="25"/>
      <c r="Q104" s="25"/>
      <c r="R104" s="25"/>
      <c r="S104" s="25"/>
      <c r="T104" s="25"/>
    </row>
    <row r="105" spans="1:20">
      <c r="A105" s="25"/>
      <c r="B105" s="235"/>
      <c r="C105" s="230"/>
      <c r="D105" s="7"/>
      <c r="E105" s="231"/>
      <c r="F105" s="242"/>
      <c r="G105" s="230"/>
      <c r="H105" s="7"/>
      <c r="I105" s="7"/>
      <c r="J105" s="7"/>
      <c r="K105" s="7"/>
      <c r="L105" s="7"/>
      <c r="M105" s="231"/>
      <c r="N105" s="235"/>
      <c r="O105" s="25"/>
      <c r="P105" s="25"/>
      <c r="Q105" s="25"/>
      <c r="R105" s="25"/>
      <c r="S105" s="25"/>
      <c r="T105" s="25"/>
    </row>
    <row r="106" spans="1:20" ht="15" thickBot="1">
      <c r="A106" s="25"/>
      <c r="B106" s="236"/>
      <c r="C106" s="232"/>
      <c r="D106" s="233"/>
      <c r="E106" s="234"/>
      <c r="F106" s="343"/>
      <c r="G106" s="232"/>
      <c r="H106" s="233"/>
      <c r="I106" s="233"/>
      <c r="J106" s="233"/>
      <c r="K106" s="233"/>
      <c r="L106" s="233"/>
      <c r="M106" s="234"/>
      <c r="N106" s="236"/>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5E5C"/>
  </sheetPr>
  <dimension ref="A1:XEZ416"/>
  <sheetViews>
    <sheetView topLeftCell="A43" zoomScale="80" zoomScaleNormal="80" workbookViewId="0">
      <selection activeCell="XFB1" sqref="XFB1"/>
    </sheetView>
  </sheetViews>
  <sheetFormatPr defaultColWidth="2.77734375" defaultRowHeight="14.4" zeroHeight="1"/>
  <cols>
    <col min="1" max="1" width="25.21875" customWidth="1"/>
    <col min="2" max="2" width="8.77734375" customWidth="1"/>
    <col min="3" max="3" width="42" customWidth="1"/>
    <col min="4" max="4" width="18.77734375" customWidth="1"/>
    <col min="5" max="5" width="32.44140625" customWidth="1"/>
    <col min="6" max="6" width="19.5546875" customWidth="1"/>
    <col min="7" max="7" width="32" bestFit="1" customWidth="1"/>
    <col min="8" max="8" width="8.77734375" customWidth="1"/>
    <col min="9" max="9" width="82.44140625" bestFit="1" customWidth="1"/>
    <col min="10" max="10" width="13.77734375" customWidth="1"/>
    <col min="11" max="11" width="35.21875" bestFit="1" customWidth="1"/>
    <col min="12" max="12" width="8.77734375" customWidth="1"/>
    <col min="13" max="13" width="48.5546875" bestFit="1" customWidth="1"/>
    <col min="14" max="14" width="8.77734375" customWidth="1"/>
    <col min="15" max="15" width="33.5546875" bestFit="1" customWidth="1"/>
    <col min="16" max="16" width="8.77734375" customWidth="1"/>
    <col min="17" max="17" width="44" customWidth="1"/>
    <col min="18" max="18" width="8.77734375" customWidth="1"/>
    <col min="19" max="19" width="35.77734375" bestFit="1" customWidth="1"/>
    <col min="20" max="20" width="8.77734375" customWidth="1"/>
    <col min="21" max="21" width="61.5546875" customWidth="1"/>
    <col min="22" max="22" width="12" bestFit="1" customWidth="1"/>
    <col min="23" max="23" width="81.77734375" bestFit="1" customWidth="1"/>
    <col min="24" max="24" width="61.21875" bestFit="1" customWidth="1"/>
    <col min="25" max="25" width="47.77734375" bestFit="1" customWidth="1"/>
    <col min="26" max="26" width="17" bestFit="1" customWidth="1"/>
    <col min="27" max="27" width="48.21875" customWidth="1"/>
    <col min="28" max="28" width="17" bestFit="1" customWidth="1"/>
    <col min="29" max="29" width="48.21875" customWidth="1"/>
    <col min="30" max="16380" width="2.77734375" hidden="1" customWidth="1"/>
    <col min="16381" max="16384" width="2.77734375" style="25" customWidth="1"/>
  </cols>
  <sheetData>
    <row r="1" spans="1:29">
      <c r="A1" s="65" t="s">
        <v>435</v>
      </c>
      <c r="B1" s="25"/>
      <c r="C1" s="65" t="s">
        <v>211</v>
      </c>
      <c r="D1" s="25"/>
      <c r="E1" s="65" t="s">
        <v>215</v>
      </c>
      <c r="F1" s="25"/>
      <c r="G1" s="65" t="s">
        <v>436</v>
      </c>
      <c r="H1" s="25"/>
      <c r="I1" s="65" t="s">
        <v>437</v>
      </c>
      <c r="J1" s="25"/>
      <c r="K1" s="65" t="s">
        <v>438</v>
      </c>
      <c r="L1" s="25"/>
      <c r="M1" s="65" t="s">
        <v>219</v>
      </c>
      <c r="N1" s="25"/>
      <c r="O1" s="65" t="s">
        <v>439</v>
      </c>
      <c r="P1" s="25"/>
      <c r="Q1" s="65" t="s">
        <v>221</v>
      </c>
      <c r="R1" s="25"/>
      <c r="S1" s="65" t="s">
        <v>440</v>
      </c>
      <c r="T1" s="25"/>
      <c r="U1" s="65" t="s">
        <v>441</v>
      </c>
      <c r="V1" s="25"/>
      <c r="W1" s="65" t="s">
        <v>442</v>
      </c>
      <c r="X1" s="25"/>
      <c r="Y1" s="65" t="s">
        <v>261</v>
      </c>
      <c r="Z1" s="25"/>
      <c r="AA1" s="65" t="s">
        <v>443</v>
      </c>
      <c r="AB1" s="25"/>
      <c r="AC1" s="65" t="s">
        <v>444</v>
      </c>
    </row>
    <row r="2" spans="1:29">
      <c r="A2" s="64" t="s">
        <v>211</v>
      </c>
      <c r="B2" s="25"/>
      <c r="C2" s="17" t="s">
        <v>305</v>
      </c>
      <c r="D2" s="25"/>
      <c r="E2" s="64" t="s">
        <v>317</v>
      </c>
      <c r="F2" s="25"/>
      <c r="G2" s="64" t="s">
        <v>322</v>
      </c>
      <c r="H2" s="25"/>
      <c r="I2" s="64" t="s">
        <v>374</v>
      </c>
      <c r="J2" s="25"/>
      <c r="K2" s="64" t="s">
        <v>364</v>
      </c>
      <c r="L2" s="25"/>
      <c r="M2" s="64" t="s">
        <v>331</v>
      </c>
      <c r="N2" s="25"/>
      <c r="O2" s="64" t="s">
        <v>335</v>
      </c>
      <c r="P2" s="25"/>
      <c r="Q2" s="64" t="s">
        <v>338</v>
      </c>
      <c r="R2" s="25"/>
      <c r="S2" s="64" t="s">
        <v>360</v>
      </c>
      <c r="T2" s="25"/>
      <c r="U2" s="64" t="s">
        <v>242</v>
      </c>
      <c r="V2" s="25"/>
      <c r="W2" s="64" t="s">
        <v>249</v>
      </c>
      <c r="X2" s="25"/>
      <c r="Y2" s="64" t="s">
        <v>268</v>
      </c>
      <c r="Z2" s="25"/>
      <c r="AA2" s="301" t="s">
        <v>365</v>
      </c>
      <c r="AB2" s="25"/>
      <c r="AC2" s="382" t="s">
        <v>103</v>
      </c>
    </row>
    <row r="3" spans="1:29">
      <c r="A3" s="64" t="s">
        <v>215</v>
      </c>
      <c r="B3" s="25"/>
      <c r="C3" s="17" t="s">
        <v>307</v>
      </c>
      <c r="D3" s="25"/>
      <c r="E3" s="64" t="s">
        <v>318</v>
      </c>
      <c r="F3" s="25"/>
      <c r="G3" s="64" t="s">
        <v>323</v>
      </c>
      <c r="H3" s="25"/>
      <c r="I3" s="64" t="s">
        <v>375</v>
      </c>
      <c r="J3" s="25"/>
      <c r="K3" s="64" t="s">
        <v>366</v>
      </c>
      <c r="L3" s="25"/>
      <c r="M3" s="64" t="s">
        <v>333</v>
      </c>
      <c r="N3" s="25"/>
      <c r="O3" s="66" t="s">
        <v>336</v>
      </c>
      <c r="P3" s="25"/>
      <c r="Q3" s="64" t="s">
        <v>339</v>
      </c>
      <c r="R3" s="25"/>
      <c r="S3" s="64" t="s">
        <v>361</v>
      </c>
      <c r="T3" s="25"/>
      <c r="U3" s="64" t="s">
        <v>243</v>
      </c>
      <c r="V3" s="25"/>
      <c r="W3" s="64" t="s">
        <v>245</v>
      </c>
      <c r="X3" s="25"/>
      <c r="Y3" s="64" t="s">
        <v>270</v>
      </c>
      <c r="Z3" s="25"/>
      <c r="AA3" s="301"/>
      <c r="AB3" s="25"/>
      <c r="AC3" s="301"/>
    </row>
    <row r="4" spans="1:29">
      <c r="A4" s="64" t="s">
        <v>216</v>
      </c>
      <c r="B4" s="25"/>
      <c r="C4" s="17" t="s">
        <v>308</v>
      </c>
      <c r="D4" s="25"/>
      <c r="E4" s="64" t="s">
        <v>319</v>
      </c>
      <c r="F4" s="25"/>
      <c r="G4" s="64" t="s">
        <v>324</v>
      </c>
      <c r="H4" s="25"/>
      <c r="I4" s="64" t="s">
        <v>376</v>
      </c>
      <c r="J4" s="25"/>
      <c r="K4" s="64" t="s">
        <v>367</v>
      </c>
      <c r="L4" s="25"/>
      <c r="M4" s="66" t="s">
        <v>334</v>
      </c>
      <c r="N4" s="25"/>
      <c r="O4" s="301" t="s">
        <v>337</v>
      </c>
      <c r="P4" s="25"/>
      <c r="Q4" s="64" t="s">
        <v>342</v>
      </c>
      <c r="R4" s="25"/>
      <c r="S4" s="64" t="s">
        <v>362</v>
      </c>
      <c r="T4" s="25"/>
      <c r="U4" s="64" t="s">
        <v>244</v>
      </c>
      <c r="V4" s="25"/>
      <c r="W4" s="64" t="s">
        <v>250</v>
      </c>
      <c r="X4" s="25"/>
      <c r="Y4" s="64" t="s">
        <v>269</v>
      </c>
      <c r="Z4" s="25"/>
      <c r="AA4" s="17"/>
      <c r="AB4" s="25"/>
      <c r="AC4" s="17"/>
    </row>
    <row r="5" spans="1:29">
      <c r="A5" s="64" t="s">
        <v>217</v>
      </c>
      <c r="B5" s="25"/>
      <c r="C5" s="17" t="s">
        <v>309</v>
      </c>
      <c r="D5" s="25"/>
      <c r="E5" s="64" t="s">
        <v>320</v>
      </c>
      <c r="F5" s="25"/>
      <c r="G5" s="64" t="s">
        <v>325</v>
      </c>
      <c r="H5" s="25"/>
      <c r="I5" s="17"/>
      <c r="J5" s="25"/>
      <c r="K5" s="64" t="s">
        <v>368</v>
      </c>
      <c r="L5" s="25"/>
      <c r="M5" s="17"/>
      <c r="N5" s="25"/>
      <c r="O5" s="17"/>
      <c r="P5" s="25"/>
      <c r="Q5" s="64" t="s">
        <v>343</v>
      </c>
      <c r="R5" s="25"/>
      <c r="S5" s="64" t="s">
        <v>363</v>
      </c>
      <c r="T5" s="25"/>
      <c r="U5" s="64" t="s">
        <v>248</v>
      </c>
      <c r="V5" s="25"/>
      <c r="W5" s="64" t="s">
        <v>246</v>
      </c>
      <c r="X5" s="25"/>
      <c r="Y5" s="64"/>
      <c r="Z5" s="25"/>
      <c r="AA5" s="17"/>
      <c r="AB5" s="25"/>
      <c r="AC5" s="17"/>
    </row>
    <row r="6" spans="1:29">
      <c r="A6" s="64" t="s">
        <v>218</v>
      </c>
      <c r="B6" s="25"/>
      <c r="C6" s="17" t="s">
        <v>310</v>
      </c>
      <c r="D6" s="25"/>
      <c r="E6" s="66" t="s">
        <v>321</v>
      </c>
      <c r="F6" s="25"/>
      <c r="G6" s="64" t="s">
        <v>326</v>
      </c>
      <c r="H6" s="25"/>
      <c r="I6" s="17"/>
      <c r="J6" s="25"/>
      <c r="K6" s="64" t="s">
        <v>369</v>
      </c>
      <c r="L6" s="25"/>
      <c r="M6" s="17"/>
      <c r="N6" s="25"/>
      <c r="O6" s="17"/>
      <c r="P6" s="25"/>
      <c r="Q6" s="64" t="s">
        <v>344</v>
      </c>
      <c r="R6" s="25"/>
      <c r="S6" s="17"/>
      <c r="T6" s="25"/>
      <c r="U6" s="64" t="s">
        <v>252</v>
      </c>
      <c r="V6" s="25"/>
      <c r="W6" s="17"/>
      <c r="X6" s="25"/>
      <c r="Y6" s="64"/>
      <c r="Z6" s="25"/>
      <c r="AA6" s="17"/>
      <c r="AB6" s="25"/>
      <c r="AC6" s="17"/>
    </row>
    <row r="7" spans="1:29">
      <c r="A7" s="64" t="s">
        <v>219</v>
      </c>
      <c r="B7" s="25"/>
      <c r="C7" s="17" t="s">
        <v>312</v>
      </c>
      <c r="D7" s="25"/>
      <c r="E7" s="17"/>
      <c r="F7" s="25"/>
      <c r="G7" s="64" t="s">
        <v>327</v>
      </c>
      <c r="H7" s="25"/>
      <c r="I7" s="17"/>
      <c r="J7" s="25"/>
      <c r="K7" s="64" t="s">
        <v>370</v>
      </c>
      <c r="L7" s="25"/>
      <c r="M7" s="17"/>
      <c r="N7" s="25"/>
      <c r="O7" s="17"/>
      <c r="P7" s="25"/>
      <c r="Q7" s="64" t="s">
        <v>345</v>
      </c>
      <c r="R7" s="25"/>
      <c r="S7" s="17"/>
      <c r="T7" s="25"/>
      <c r="U7" s="64" t="s">
        <v>249</v>
      </c>
      <c r="V7" s="25"/>
      <c r="W7" s="17"/>
      <c r="X7" s="25"/>
      <c r="Y7" s="64"/>
      <c r="Z7" s="25"/>
      <c r="AA7" s="17"/>
      <c r="AB7" s="25"/>
      <c r="AC7" s="17"/>
    </row>
    <row r="8" spans="1:29">
      <c r="A8" s="64" t="s">
        <v>220</v>
      </c>
      <c r="B8" s="25"/>
      <c r="C8" s="17" t="s">
        <v>313</v>
      </c>
      <c r="D8" s="25"/>
      <c r="E8" s="17"/>
      <c r="F8" s="25"/>
      <c r="G8" s="64" t="s">
        <v>328</v>
      </c>
      <c r="H8" s="25"/>
      <c r="I8" s="17"/>
      <c r="J8" s="25"/>
      <c r="K8" s="66" t="s">
        <v>371</v>
      </c>
      <c r="L8" s="25"/>
      <c r="M8" s="17"/>
      <c r="N8" s="25"/>
      <c r="O8" s="17"/>
      <c r="P8" s="25"/>
      <c r="Q8" s="64" t="s">
        <v>346</v>
      </c>
      <c r="R8" s="25"/>
      <c r="S8" s="17"/>
      <c r="T8" s="25"/>
      <c r="U8" s="64" t="s">
        <v>245</v>
      </c>
      <c r="V8" s="25"/>
      <c r="W8" s="17"/>
      <c r="X8" s="25"/>
      <c r="Y8" s="64"/>
      <c r="Z8" s="25"/>
      <c r="AA8" s="17"/>
      <c r="AB8" s="25"/>
      <c r="AC8" s="17"/>
    </row>
    <row r="9" spans="1:29">
      <c r="A9" s="64" t="s">
        <v>221</v>
      </c>
      <c r="B9" s="25"/>
      <c r="C9" s="17" t="s">
        <v>314</v>
      </c>
      <c r="D9" s="25"/>
      <c r="E9" s="17"/>
      <c r="F9" s="25"/>
      <c r="G9" s="66" t="s">
        <v>329</v>
      </c>
      <c r="H9" s="25"/>
      <c r="I9" s="17"/>
      <c r="J9" s="25"/>
      <c r="K9" s="64" t="s">
        <v>372</v>
      </c>
      <c r="L9" s="25"/>
      <c r="M9" s="17"/>
      <c r="N9" s="25"/>
      <c r="O9" s="17"/>
      <c r="P9" s="25"/>
      <c r="Q9" s="64" t="s">
        <v>351</v>
      </c>
      <c r="R9" s="25"/>
      <c r="S9" s="17"/>
      <c r="T9" s="25"/>
      <c r="U9" s="64" t="s">
        <v>250</v>
      </c>
      <c r="V9" s="25"/>
      <c r="W9" s="17"/>
      <c r="X9" s="25"/>
      <c r="Y9" s="64"/>
      <c r="Z9" s="25"/>
      <c r="AA9" s="17"/>
      <c r="AB9" s="25"/>
      <c r="AC9" s="17"/>
    </row>
    <row r="10" spans="1:29">
      <c r="A10" s="66" t="s">
        <v>222</v>
      </c>
      <c r="B10" s="25"/>
      <c r="C10" s="17" t="s">
        <v>315</v>
      </c>
      <c r="D10" s="25"/>
      <c r="E10" s="17"/>
      <c r="F10" s="25"/>
      <c r="G10" s="66" t="s">
        <v>330</v>
      </c>
      <c r="H10" s="25"/>
      <c r="I10" s="17"/>
      <c r="J10" s="25"/>
      <c r="K10" s="64" t="s">
        <v>373</v>
      </c>
      <c r="L10" s="25"/>
      <c r="M10" s="17"/>
      <c r="N10" s="25"/>
      <c r="O10" s="17"/>
      <c r="P10" s="25"/>
      <c r="Q10" s="64" t="s">
        <v>348</v>
      </c>
      <c r="R10" s="25"/>
      <c r="S10" s="17"/>
      <c r="T10" s="25"/>
      <c r="U10" s="66" t="s">
        <v>246</v>
      </c>
      <c r="V10" s="25"/>
      <c r="W10" s="17"/>
      <c r="X10" s="25"/>
      <c r="Y10" s="64"/>
      <c r="Z10" s="25"/>
      <c r="AA10" s="17"/>
      <c r="AB10" s="25"/>
      <c r="AC10" s="17"/>
    </row>
    <row r="11" spans="1:29">
      <c r="A11" s="133" t="s">
        <v>223</v>
      </c>
      <c r="B11" s="25"/>
      <c r="C11" s="17" t="s">
        <v>316</v>
      </c>
      <c r="D11" s="25"/>
      <c r="E11" s="17"/>
      <c r="F11" s="25"/>
      <c r="G11" s="17"/>
      <c r="H11" s="25"/>
      <c r="I11" s="17"/>
      <c r="J11" s="25"/>
      <c r="K11" s="17"/>
      <c r="L11" s="25"/>
      <c r="M11" s="17"/>
      <c r="N11" s="25"/>
      <c r="O11" s="17"/>
      <c r="P11" s="25"/>
      <c r="Q11" s="64" t="s">
        <v>349</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350</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347</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352</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353</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354</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355</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356</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357</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358</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359</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377</v>
      </c>
      <c r="B28" s="25"/>
      <c r="C28" s="50" t="s">
        <v>445</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377</v>
      </c>
      <c r="B29" s="25"/>
      <c r="C29" s="9" t="s">
        <v>235</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43" t="s">
        <v>446</v>
      </c>
      <c r="K33" s="1043"/>
      <c r="L33" s="25"/>
      <c r="M33" s="25"/>
      <c r="N33" s="25"/>
      <c r="O33" s="25"/>
      <c r="P33" s="25"/>
      <c r="Q33" s="25"/>
      <c r="R33" s="25"/>
      <c r="S33" s="25"/>
      <c r="T33" s="25"/>
      <c r="U33" s="25"/>
      <c r="V33" s="25"/>
      <c r="W33" s="25"/>
      <c r="X33" s="25"/>
      <c r="Y33" s="25"/>
      <c r="Z33" s="25"/>
      <c r="AA33" s="25"/>
      <c r="AB33" s="25"/>
      <c r="AC33" s="25"/>
    </row>
    <row r="34" spans="1:29">
      <c r="A34" s="25"/>
      <c r="B34" s="1040" t="s">
        <v>304</v>
      </c>
      <c r="C34" s="1041"/>
      <c r="D34" s="1042"/>
      <c r="E34" s="25"/>
      <c r="F34" s="1040" t="s">
        <v>447</v>
      </c>
      <c r="G34" s="1041"/>
      <c r="H34" s="1042"/>
      <c r="I34" s="25"/>
      <c r="J34" s="50" t="s">
        <v>448</v>
      </c>
      <c r="K34" s="50" t="s">
        <v>449</v>
      </c>
      <c r="L34" s="25"/>
      <c r="M34" s="1046" t="s">
        <v>450</v>
      </c>
      <c r="N34" s="1046"/>
      <c r="O34" s="25"/>
      <c r="P34" s="25"/>
      <c r="Q34" s="1044" t="s">
        <v>451</v>
      </c>
      <c r="R34" s="1044"/>
      <c r="S34" s="1044"/>
      <c r="T34" s="1044"/>
      <c r="U34" s="25"/>
      <c r="V34" s="25"/>
      <c r="W34" s="25"/>
      <c r="X34" s="25"/>
      <c r="Y34" s="25"/>
      <c r="Z34" s="25"/>
      <c r="AA34" s="25"/>
      <c r="AB34" s="25"/>
      <c r="AC34" s="25"/>
    </row>
    <row r="35" spans="1:29">
      <c r="A35" s="25"/>
      <c r="B35" s="49" t="s">
        <v>95</v>
      </c>
      <c r="C35" s="50" t="s">
        <v>452</v>
      </c>
      <c r="D35" s="50" t="s">
        <v>453</v>
      </c>
      <c r="E35" s="25"/>
      <c r="F35" s="50" t="s">
        <v>452</v>
      </c>
      <c r="G35" s="49" t="s">
        <v>454</v>
      </c>
      <c r="H35" s="50" t="s">
        <v>455</v>
      </c>
      <c r="I35" s="25"/>
      <c r="J35" s="9" t="s">
        <v>212</v>
      </c>
      <c r="K35" s="7">
        <v>1</v>
      </c>
      <c r="L35" s="25"/>
      <c r="M35" s="50" t="s">
        <v>456</v>
      </c>
      <c r="N35" s="50" t="s">
        <v>455</v>
      </c>
      <c r="O35" s="25"/>
      <c r="P35" s="25"/>
      <c r="Q35" s="50" t="s">
        <v>457</v>
      </c>
      <c r="R35" s="50" t="s">
        <v>458</v>
      </c>
      <c r="S35" s="50" t="s">
        <v>459</v>
      </c>
      <c r="T35" s="50" t="s">
        <v>460</v>
      </c>
      <c r="U35" s="25"/>
      <c r="V35" s="25"/>
      <c r="W35" s="240" t="s">
        <v>461</v>
      </c>
      <c r="X35" s="241" t="s">
        <v>462</v>
      </c>
      <c r="Y35" s="25"/>
      <c r="Z35" s="25"/>
      <c r="AA35" s="25"/>
      <c r="AB35" s="25"/>
      <c r="AC35" s="25"/>
    </row>
    <row r="36" spans="1:29" ht="43.5" customHeight="1">
      <c r="A36" s="25"/>
      <c r="B36" s="9" t="s">
        <v>332</v>
      </c>
      <c r="C36" s="9" t="s">
        <v>463</v>
      </c>
      <c r="D36" s="7">
        <v>1.1499999999999999</v>
      </c>
      <c r="E36" s="25"/>
      <c r="F36" s="9" t="s">
        <v>104</v>
      </c>
      <c r="G36" s="9" t="s">
        <v>464</v>
      </c>
      <c r="H36" s="7">
        <v>1.1499999999999999</v>
      </c>
      <c r="I36" s="25"/>
      <c r="J36" s="9" t="s">
        <v>214</v>
      </c>
      <c r="K36" s="7">
        <v>0.67</v>
      </c>
      <c r="L36" s="25"/>
      <c r="M36" s="15" t="s">
        <v>465</v>
      </c>
      <c r="N36" s="15">
        <v>1</v>
      </c>
      <c r="O36" s="25"/>
      <c r="P36" s="25"/>
      <c r="Q36" s="7" t="s">
        <v>466</v>
      </c>
      <c r="R36" s="7">
        <v>0.3</v>
      </c>
      <c r="S36" s="7">
        <f>R36*12</f>
        <v>3.5999999999999996</v>
      </c>
      <c r="T36" s="10">
        <f>3.14*(S36*S36)/10000</f>
        <v>4.0694399999999997E-3</v>
      </c>
      <c r="U36" s="25"/>
      <c r="V36" s="25"/>
      <c r="W36" s="17" t="s">
        <v>467</v>
      </c>
      <c r="X36" s="17" t="s">
        <v>468</v>
      </c>
      <c r="Y36" s="25"/>
      <c r="Z36" s="25"/>
      <c r="AA36" s="25"/>
      <c r="AB36" s="25"/>
      <c r="AC36" s="25"/>
    </row>
    <row r="37" spans="1:29" ht="55.5" customHeight="1">
      <c r="A37" s="25"/>
      <c r="B37" s="9" t="s">
        <v>214</v>
      </c>
      <c r="C37" s="9" t="s">
        <v>469</v>
      </c>
      <c r="D37" s="7">
        <v>1.1000000000000001</v>
      </c>
      <c r="E37" s="25"/>
      <c r="F37" s="9" t="s">
        <v>124</v>
      </c>
      <c r="G37" s="9" t="s">
        <v>470</v>
      </c>
      <c r="H37" s="7">
        <v>1</v>
      </c>
      <c r="I37" s="25"/>
      <c r="J37" s="9" t="s">
        <v>332</v>
      </c>
      <c r="K37" s="7">
        <v>0.33</v>
      </c>
      <c r="L37" s="25"/>
      <c r="M37" s="15" t="s">
        <v>471</v>
      </c>
      <c r="N37" s="15">
        <v>0.75</v>
      </c>
      <c r="O37" s="25"/>
      <c r="P37" s="25"/>
      <c r="Q37" s="7" t="s">
        <v>214</v>
      </c>
      <c r="R37" s="7">
        <v>0.9</v>
      </c>
      <c r="S37" s="7">
        <f>R37*12</f>
        <v>10.8</v>
      </c>
      <c r="T37" s="10">
        <f>3.14*(S37*S37)/10000</f>
        <v>3.6624960000000005E-2</v>
      </c>
      <c r="U37" s="25"/>
      <c r="V37" s="25"/>
      <c r="W37" s="17" t="s">
        <v>472</v>
      </c>
      <c r="X37" s="17" t="s">
        <v>473</v>
      </c>
      <c r="Y37" s="25"/>
      <c r="Z37" s="25"/>
      <c r="AA37" s="25"/>
      <c r="AB37" s="25"/>
      <c r="AC37" s="25"/>
    </row>
    <row r="38" spans="1:29" ht="28.8">
      <c r="A38" s="25"/>
      <c r="B38" s="16" t="s">
        <v>212</v>
      </c>
      <c r="C38" s="9" t="s">
        <v>474</v>
      </c>
      <c r="D38" s="7">
        <v>1</v>
      </c>
      <c r="E38" s="25"/>
      <c r="F38" s="9"/>
      <c r="G38" s="9"/>
      <c r="H38" s="7"/>
      <c r="I38" s="25"/>
      <c r="J38" s="9" t="s">
        <v>475</v>
      </c>
      <c r="K38" s="7">
        <v>0.1</v>
      </c>
      <c r="L38" s="25"/>
      <c r="M38" s="15" t="s">
        <v>476</v>
      </c>
      <c r="N38" s="15">
        <v>0.5</v>
      </c>
      <c r="O38" s="25"/>
      <c r="P38" s="25"/>
      <c r="Q38" s="7" t="s">
        <v>477</v>
      </c>
      <c r="R38" s="7">
        <v>1.3</v>
      </c>
      <c r="S38" s="7">
        <f>R38*12</f>
        <v>15.600000000000001</v>
      </c>
      <c r="T38" s="10">
        <f>3.14*(S38*S38)/10000</f>
        <v>7.6415040000000017E-2</v>
      </c>
      <c r="U38" s="25"/>
      <c r="V38" s="25"/>
      <c r="W38" s="17" t="s">
        <v>478</v>
      </c>
      <c r="X38" s="17" t="s">
        <v>479</v>
      </c>
      <c r="Y38" s="25"/>
      <c r="Z38" s="25"/>
      <c r="AA38" s="25"/>
      <c r="AB38" s="25"/>
      <c r="AC38" s="25"/>
    </row>
    <row r="39" spans="1:29">
      <c r="A39" s="25"/>
      <c r="B39" s="16" t="s">
        <v>380</v>
      </c>
      <c r="C39" s="9" t="s">
        <v>480</v>
      </c>
      <c r="D39" s="7">
        <v>1</v>
      </c>
      <c r="E39" s="25"/>
      <c r="F39" s="25"/>
      <c r="G39" s="25"/>
      <c r="H39" s="25"/>
      <c r="I39" s="25"/>
      <c r="J39" s="25"/>
      <c r="K39" s="25"/>
      <c r="L39" s="25"/>
      <c r="M39" s="25"/>
      <c r="N39" s="25"/>
      <c r="O39" s="25"/>
      <c r="P39" s="25"/>
      <c r="Q39" s="25"/>
      <c r="R39" s="25"/>
      <c r="S39" s="25"/>
      <c r="T39" s="25"/>
      <c r="U39" s="25"/>
      <c r="V39" s="25"/>
      <c r="W39" s="17" t="s">
        <v>481</v>
      </c>
      <c r="X39" s="17" t="s">
        <v>482</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483</v>
      </c>
      <c r="X40" s="17" t="s">
        <v>484</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485</v>
      </c>
      <c r="X41" s="17" t="s">
        <v>486</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487</v>
      </c>
      <c r="X42" s="17" t="s">
        <v>488</v>
      </c>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489</v>
      </c>
      <c r="X43" s="17" t="s">
        <v>490</v>
      </c>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491</v>
      </c>
      <c r="X44" s="17" t="s">
        <v>492</v>
      </c>
      <c r="Y44" s="25"/>
      <c r="Z44" s="25"/>
      <c r="AA44" s="25"/>
      <c r="AB44" s="25"/>
      <c r="AC44" s="25"/>
    </row>
    <row r="45" spans="1:29" ht="28.5" customHeight="1">
      <c r="A45" s="25"/>
      <c r="B45" s="932" t="s">
        <v>493</v>
      </c>
      <c r="C45" s="1038"/>
      <c r="D45" s="1039"/>
      <c r="E45" s="25"/>
      <c r="F45" s="932" t="s">
        <v>494</v>
      </c>
      <c r="G45" s="1039"/>
      <c r="H45" s="25"/>
      <c r="I45" s="1045" t="s">
        <v>495</v>
      </c>
      <c r="J45" s="1045"/>
      <c r="K45" s="1045"/>
      <c r="L45" s="25"/>
      <c r="M45" s="1044" t="s">
        <v>102</v>
      </c>
      <c r="N45" s="1044"/>
      <c r="O45" s="1044"/>
      <c r="P45" s="1044"/>
      <c r="Q45" s="25"/>
      <c r="R45" s="25"/>
      <c r="S45" s="932" t="s">
        <v>496</v>
      </c>
      <c r="T45" s="1038"/>
      <c r="U45" s="1039"/>
      <c r="V45" s="25"/>
      <c r="W45" s="17" t="s">
        <v>497</v>
      </c>
      <c r="X45" s="17" t="s">
        <v>498</v>
      </c>
      <c r="Y45" s="25"/>
      <c r="Z45" s="25"/>
      <c r="AA45" s="25"/>
      <c r="AB45" s="25"/>
      <c r="AC45" s="25"/>
    </row>
    <row r="46" spans="1:29" ht="43.2">
      <c r="A46" s="25"/>
      <c r="B46" s="49" t="s">
        <v>499</v>
      </c>
      <c r="C46" s="49" t="s">
        <v>500</v>
      </c>
      <c r="D46" s="49" t="s">
        <v>501</v>
      </c>
      <c r="E46" s="25"/>
      <c r="F46" s="49" t="s">
        <v>502</v>
      </c>
      <c r="G46" s="49" t="s">
        <v>503</v>
      </c>
      <c r="H46" s="25"/>
      <c r="I46" s="49" t="s">
        <v>504</v>
      </c>
      <c r="J46" s="49" t="s">
        <v>505</v>
      </c>
      <c r="K46" s="49" t="s">
        <v>506</v>
      </c>
      <c r="L46" s="25"/>
      <c r="M46" s="50" t="s">
        <v>457</v>
      </c>
      <c r="N46" s="50" t="s">
        <v>458</v>
      </c>
      <c r="O46" s="50" t="s">
        <v>459</v>
      </c>
      <c r="P46" s="50" t="s">
        <v>507</v>
      </c>
      <c r="Q46" s="25"/>
      <c r="R46" s="25"/>
      <c r="S46" s="49" t="s">
        <v>499</v>
      </c>
      <c r="T46" s="49" t="s">
        <v>500</v>
      </c>
      <c r="U46" s="49" t="s">
        <v>501</v>
      </c>
      <c r="V46" s="25"/>
      <c r="W46" s="17" t="s">
        <v>508</v>
      </c>
      <c r="X46" s="17" t="s">
        <v>509</v>
      </c>
      <c r="Y46" s="25"/>
      <c r="Z46" s="25"/>
      <c r="AA46" s="25"/>
      <c r="AB46" s="25"/>
      <c r="AC46" s="25"/>
    </row>
    <row r="47" spans="1:29" ht="57.6">
      <c r="A47" s="25"/>
      <c r="B47" s="7" t="s">
        <v>214</v>
      </c>
      <c r="C47" s="7">
        <v>4</v>
      </c>
      <c r="D47" s="21" t="s">
        <v>306</v>
      </c>
      <c r="E47" s="25"/>
      <c r="F47" s="7" t="s">
        <v>396</v>
      </c>
      <c r="G47" s="7">
        <v>3</v>
      </c>
      <c r="H47" s="25"/>
      <c r="I47" s="23">
        <v>0</v>
      </c>
      <c r="J47" s="23">
        <v>100</v>
      </c>
      <c r="K47" s="24">
        <v>1</v>
      </c>
      <c r="L47" s="25"/>
      <c r="M47" s="7" t="s">
        <v>466</v>
      </c>
      <c r="N47" s="7">
        <v>0.3</v>
      </c>
      <c r="O47" s="7">
        <f>N47*12</f>
        <v>3.5999999999999996</v>
      </c>
      <c r="P47" s="10">
        <f>3.14*(O47*O47)</f>
        <v>40.694399999999995</v>
      </c>
      <c r="Q47" s="25"/>
      <c r="R47" s="25"/>
      <c r="S47" s="7" t="s">
        <v>214</v>
      </c>
      <c r="T47" s="7">
        <v>4</v>
      </c>
      <c r="U47" s="9" t="s">
        <v>306</v>
      </c>
      <c r="V47" s="25"/>
      <c r="W47" s="17" t="s">
        <v>510</v>
      </c>
      <c r="X47" s="17" t="s">
        <v>511</v>
      </c>
      <c r="Y47" s="25"/>
      <c r="Z47" s="25"/>
      <c r="AA47" s="25"/>
      <c r="AB47" s="25"/>
      <c r="AC47" s="25"/>
    </row>
    <row r="48" spans="1:29" ht="43.2">
      <c r="A48" s="25"/>
      <c r="B48" s="7" t="s">
        <v>212</v>
      </c>
      <c r="C48" s="7">
        <v>2</v>
      </c>
      <c r="D48" s="21" t="s">
        <v>311</v>
      </c>
      <c r="E48" s="25"/>
      <c r="F48" s="7" t="s">
        <v>123</v>
      </c>
      <c r="G48" s="7">
        <v>2</v>
      </c>
      <c r="H48" s="25"/>
      <c r="I48" s="23">
        <v>1</v>
      </c>
      <c r="J48" s="23">
        <v>96.5</v>
      </c>
      <c r="K48" s="24">
        <v>0.96499999999999997</v>
      </c>
      <c r="L48" s="25"/>
      <c r="M48" s="7" t="s">
        <v>214</v>
      </c>
      <c r="N48" s="7">
        <v>0.6</v>
      </c>
      <c r="O48" s="7">
        <v>7.2</v>
      </c>
      <c r="P48" s="10">
        <f>3.14*(O48*O48)</f>
        <v>162.77760000000001</v>
      </c>
      <c r="Q48" s="25"/>
      <c r="R48" s="25"/>
      <c r="S48" s="7" t="s">
        <v>212</v>
      </c>
      <c r="T48" s="7">
        <v>2</v>
      </c>
      <c r="U48" s="9" t="s">
        <v>311</v>
      </c>
      <c r="V48" s="25"/>
      <c r="W48" s="17" t="s">
        <v>512</v>
      </c>
      <c r="X48" s="17" t="s">
        <v>513</v>
      </c>
      <c r="Y48" s="25"/>
      <c r="Z48" s="25"/>
      <c r="AA48" s="25"/>
      <c r="AB48" s="25"/>
      <c r="AC48" s="25"/>
    </row>
    <row r="49" spans="1:29" ht="28.8">
      <c r="A49" s="25"/>
      <c r="B49" s="7" t="s">
        <v>340</v>
      </c>
      <c r="C49" s="7">
        <v>0</v>
      </c>
      <c r="D49" s="21" t="s">
        <v>341</v>
      </c>
      <c r="E49" s="25"/>
      <c r="F49" s="9" t="s">
        <v>397</v>
      </c>
      <c r="G49" s="7">
        <v>1</v>
      </c>
      <c r="H49" s="25"/>
      <c r="I49" s="23">
        <v>2</v>
      </c>
      <c r="J49" s="23">
        <v>93.122500000000002</v>
      </c>
      <c r="K49" s="24">
        <v>0.93122499999999997</v>
      </c>
      <c r="L49" s="25"/>
      <c r="M49" s="7" t="s">
        <v>477</v>
      </c>
      <c r="N49" s="7">
        <v>0.9</v>
      </c>
      <c r="O49" s="7">
        <v>10.8</v>
      </c>
      <c r="P49" s="10">
        <f>3.14*(O49*O49)</f>
        <v>366.24960000000004</v>
      </c>
      <c r="Q49" s="25"/>
      <c r="R49" s="25"/>
      <c r="S49" s="7" t="s">
        <v>340</v>
      </c>
      <c r="T49" s="7">
        <v>1</v>
      </c>
      <c r="U49" s="9" t="s">
        <v>341</v>
      </c>
      <c r="V49" s="25"/>
      <c r="W49" s="17" t="s">
        <v>514</v>
      </c>
      <c r="X49" s="17" t="s">
        <v>515</v>
      </c>
      <c r="Y49" s="25"/>
      <c r="Z49" s="25"/>
      <c r="AA49" s="25"/>
      <c r="AB49" s="25"/>
      <c r="AC49" s="25"/>
    </row>
    <row r="50" spans="1:29" ht="57.6">
      <c r="A50" s="25"/>
      <c r="B50" s="7" t="s">
        <v>332</v>
      </c>
      <c r="C50" s="7">
        <v>6</v>
      </c>
      <c r="D50" s="21" t="s">
        <v>306</v>
      </c>
      <c r="E50" s="25"/>
      <c r="F50" s="9" t="s">
        <v>398</v>
      </c>
      <c r="G50" s="7">
        <v>1</v>
      </c>
      <c r="H50" s="25"/>
      <c r="I50" s="23">
        <v>3</v>
      </c>
      <c r="J50" s="23">
        <v>89.863212500000003</v>
      </c>
      <c r="K50" s="24">
        <v>0.898632125</v>
      </c>
      <c r="L50" s="25"/>
      <c r="M50" s="7" t="s">
        <v>516</v>
      </c>
      <c r="N50" s="7">
        <v>1.3</v>
      </c>
      <c r="O50" s="7">
        <v>15.6</v>
      </c>
      <c r="P50" s="10">
        <f>3.14*(O50*O50)</f>
        <v>764.15039999999999</v>
      </c>
      <c r="Q50" s="25"/>
      <c r="R50" s="25"/>
      <c r="S50" s="7" t="s">
        <v>332</v>
      </c>
      <c r="T50" s="7">
        <v>6</v>
      </c>
      <c r="U50" s="9" t="s">
        <v>306</v>
      </c>
      <c r="V50" s="25"/>
      <c r="W50" s="17" t="s">
        <v>517</v>
      </c>
      <c r="X50" s="17" t="s">
        <v>518</v>
      </c>
      <c r="Y50" s="25"/>
      <c r="Z50" s="25"/>
      <c r="AA50" s="25"/>
      <c r="AB50" s="25"/>
      <c r="AC50" s="25"/>
    </row>
    <row r="51" spans="1:29">
      <c r="A51" s="25"/>
      <c r="B51" s="25"/>
      <c r="C51" s="25"/>
      <c r="D51" s="25"/>
      <c r="E51" s="25"/>
      <c r="F51" s="7" t="s">
        <v>399</v>
      </c>
      <c r="G51" s="7">
        <v>0</v>
      </c>
      <c r="H51" s="25"/>
      <c r="I51" s="23">
        <v>4</v>
      </c>
      <c r="J51" s="23">
        <v>86.718000059999994</v>
      </c>
      <c r="K51" s="24">
        <v>0.86718000059999989</v>
      </c>
      <c r="L51" s="25"/>
      <c r="M51" s="25"/>
      <c r="N51" s="25"/>
      <c r="O51" s="25"/>
      <c r="P51" s="25"/>
      <c r="Q51" s="25"/>
      <c r="R51" s="25"/>
      <c r="S51" s="25"/>
      <c r="T51" s="25"/>
      <c r="U51" s="25"/>
      <c r="V51" s="25"/>
      <c r="W51" s="17" t="s">
        <v>519</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520</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521</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522</v>
      </c>
      <c r="X54" s="17"/>
      <c r="Y54" s="25"/>
      <c r="Z54" s="25"/>
      <c r="AA54" s="25"/>
      <c r="AB54" s="25"/>
      <c r="AC54" s="25"/>
    </row>
    <row r="55" spans="1:29" ht="14.5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523</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524</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525</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526</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527</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528</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529</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530</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531</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532</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533</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534</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535</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536</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537</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538</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539</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540</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541</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542</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543</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544</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545</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546</v>
      </c>
      <c r="X78" s="17"/>
      <c r="Y78" s="25"/>
      <c r="Z78" s="25"/>
      <c r="AA78" s="25"/>
      <c r="AB78" s="25"/>
      <c r="AC78" s="25"/>
    </row>
    <row r="79" spans="1:29">
      <c r="A79" s="25"/>
      <c r="B79" s="25"/>
      <c r="C79" s="25"/>
      <c r="D79" s="25"/>
      <c r="E79" s="25"/>
      <c r="F79" s="25"/>
      <c r="G79" s="25"/>
      <c r="H79" s="25"/>
      <c r="I79" s="23" t="s">
        <v>418</v>
      </c>
      <c r="J79" s="19">
        <v>31.979673609999999</v>
      </c>
      <c r="K79" s="24">
        <v>0.31979673609999998</v>
      </c>
      <c r="L79" s="25"/>
      <c r="M79" s="25"/>
      <c r="N79" s="25"/>
      <c r="O79" s="25"/>
      <c r="P79" s="25"/>
      <c r="Q79" s="25"/>
      <c r="R79" s="25"/>
      <c r="S79" s="25"/>
      <c r="T79" s="25"/>
      <c r="U79" s="25"/>
      <c r="V79" s="25"/>
      <c r="W79" s="17" t="s">
        <v>547</v>
      </c>
      <c r="X79" s="17"/>
      <c r="Y79" s="25"/>
      <c r="Z79" s="25"/>
      <c r="AA79" s="25"/>
      <c r="AB79" s="25"/>
      <c r="AC79" s="25"/>
    </row>
    <row r="80" spans="1:29">
      <c r="A80" s="25"/>
      <c r="B80" s="25"/>
      <c r="C80" s="25"/>
      <c r="D80" s="25"/>
      <c r="E80" s="25"/>
      <c r="F80" s="25"/>
      <c r="G80" s="25"/>
      <c r="H80" s="25"/>
      <c r="I80" s="9" t="s">
        <v>401</v>
      </c>
      <c r="J80" s="9" t="s">
        <v>380</v>
      </c>
      <c r="K80" s="9" t="s">
        <v>380</v>
      </c>
      <c r="L80" s="25"/>
      <c r="M80" s="25"/>
      <c r="N80" s="25"/>
      <c r="O80" s="25"/>
      <c r="P80" s="25"/>
      <c r="Q80" s="25"/>
      <c r="R80" s="25"/>
      <c r="S80" s="25"/>
      <c r="T80" s="25"/>
      <c r="U80" s="25"/>
      <c r="V80" s="25"/>
      <c r="W80" s="17" t="s">
        <v>548</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549</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550</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551</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552</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553</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554</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555</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556</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557</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558</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559</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560</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561</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562</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563</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564</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565</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566</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567</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568</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569</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570</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571</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572</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573</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574</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575</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576</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577</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578</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579</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580</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581</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582</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583</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584</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585</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586</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587</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588</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589</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590</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591</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592</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593</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594</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595</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596</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597</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598</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599</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600</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601</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602</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603</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604</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605</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606</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607</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608</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609</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610</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611</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612</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613</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614</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615</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616</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617</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618</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619</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620</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621</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622</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623</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624</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625</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626</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627</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628</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629</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630</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631</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632</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633</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634</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635</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636</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637</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638</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639</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640</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641</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642</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643</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644</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645</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646</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647</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648</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649</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650</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651</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652</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653</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654</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655</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656</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657</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658</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659</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660</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661</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662</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663</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664</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665</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666</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667</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668</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669</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670</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671</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672</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673</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674</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675</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676</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677</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678</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679</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680</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681</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682</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683</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684</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685</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686</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687</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688</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689</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690</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691</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692</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693</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694</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695</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696</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697</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698</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699</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700</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701</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702</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703</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704</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705</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706</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707</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708</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709</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710</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711</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712</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713</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714</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715</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716</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717</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718</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719</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720</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721</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722</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723</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724</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725</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726</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727</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728</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729</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730</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731</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732</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733</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734</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735</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736</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737</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738</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739</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740</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741</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742</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743</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744</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745</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746</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747</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748</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749</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750</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751</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752</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753</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754</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755</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756</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757</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758</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759</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760</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761</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762</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763</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764</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765</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766</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767</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768</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769</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770</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771</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772</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773</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774</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775</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776</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777</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778</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779</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780</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781</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782</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783</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784</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785</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786</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787</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788</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789</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790</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791</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792</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793</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794</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795</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796</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797</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798</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799</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800</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801</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802</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803</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804</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805</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806</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807</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808</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809</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810</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811</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812</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813</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814</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815</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816</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817</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818</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819</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820</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821</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822</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823</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824</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825</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826</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827</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828</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829</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830</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831</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832</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833</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834</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835</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836</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837</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838</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839</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840</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841</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842</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843</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844</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845</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846</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847</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848</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849</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850</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851</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852</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853</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854</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855</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856</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857</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858</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859</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860</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861</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862</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863</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864</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865</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866</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867</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868</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869</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870</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871</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872</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873</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874</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875</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876</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877</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878</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879</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880</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gkpQGb5xsjogus0z1fAi+McViUuQ0WpgJ9ExSimLrBSvSNHgDy20whmrCUIv2LP/bEX86DK+o58/Ot0h3gc8oQ==" saltValue="eANOEh+L+BMgGykZEexaKA==" spinCount="100000" sheet="1" objects="1" scenarios="1"/>
  <sortState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H157"/>
  <sheetViews>
    <sheetView zoomScale="80" zoomScaleNormal="80" workbookViewId="0"/>
  </sheetViews>
  <sheetFormatPr defaultColWidth="0" defaultRowHeight="14.4" zeroHeight="1"/>
  <cols>
    <col min="1" max="1" width="3.21875" customWidth="1"/>
    <col min="2" max="2" width="24.44140625" bestFit="1" customWidth="1"/>
    <col min="3" max="3" width="34.21875" bestFit="1" customWidth="1"/>
    <col min="4" max="4" width="41.77734375" bestFit="1" customWidth="1"/>
    <col min="5" max="5" width="50.21875" customWidth="1"/>
    <col min="6" max="6" width="20.44140625" customWidth="1"/>
    <col min="7" max="8" width="8.77734375" customWidth="1"/>
    <col min="9" max="16384" width="8.77734375" hidden="1"/>
  </cols>
  <sheetData>
    <row r="1" spans="1:8" ht="15" thickBot="1">
      <c r="A1" s="60"/>
      <c r="B1" s="60"/>
      <c r="C1" s="60"/>
      <c r="D1" s="60"/>
      <c r="E1" s="60"/>
      <c r="F1" s="60"/>
      <c r="G1" s="60"/>
      <c r="H1" s="60"/>
    </row>
    <row r="2" spans="1:8" ht="19.2" customHeight="1" thickBot="1">
      <c r="A2" s="25"/>
      <c r="B2" s="256" t="s">
        <v>881</v>
      </c>
      <c r="C2" s="257" t="s">
        <v>882</v>
      </c>
      <c r="D2" s="257" t="s">
        <v>883</v>
      </c>
      <c r="E2" s="258" t="s">
        <v>884</v>
      </c>
      <c r="F2" s="259" t="s">
        <v>94</v>
      </c>
      <c r="G2" s="60"/>
      <c r="H2" s="60"/>
    </row>
    <row r="3" spans="1:8" ht="21.6" customHeight="1" thickBot="1">
      <c r="A3" s="25"/>
      <c r="B3" s="252" t="s">
        <v>885</v>
      </c>
      <c r="C3" s="260" t="s">
        <v>886</v>
      </c>
      <c r="D3" s="260" t="s">
        <v>887</v>
      </c>
      <c r="E3" s="253" t="s">
        <v>888</v>
      </c>
      <c r="F3" s="254" t="s">
        <v>214</v>
      </c>
      <c r="G3" s="25"/>
      <c r="H3" s="25"/>
    </row>
    <row r="4" spans="1:8">
      <c r="A4" s="25"/>
      <c r="B4" s="1047" t="s">
        <v>211</v>
      </c>
      <c r="C4" s="1050" t="s">
        <v>211</v>
      </c>
      <c r="D4" s="261" t="s">
        <v>889</v>
      </c>
      <c r="E4" s="243" t="s">
        <v>310</v>
      </c>
      <c r="F4" s="244" t="s">
        <v>212</v>
      </c>
      <c r="G4" s="25"/>
      <c r="H4" s="25"/>
    </row>
    <row r="5" spans="1:8">
      <c r="A5" s="25"/>
      <c r="B5" s="1048"/>
      <c r="C5" s="1051"/>
      <c r="D5" s="7" t="s">
        <v>890</v>
      </c>
      <c r="E5" s="9" t="s">
        <v>891</v>
      </c>
      <c r="F5" s="245" t="s">
        <v>212</v>
      </c>
      <c r="G5" s="25"/>
      <c r="H5" s="25"/>
    </row>
    <row r="6" spans="1:8">
      <c r="A6" s="25"/>
      <c r="B6" s="1048"/>
      <c r="C6" s="1051"/>
      <c r="D6" s="7" t="s">
        <v>892</v>
      </c>
      <c r="E6" s="9" t="s">
        <v>315</v>
      </c>
      <c r="F6" s="245" t="s">
        <v>212</v>
      </c>
      <c r="G6" s="25"/>
      <c r="H6" s="25"/>
    </row>
    <row r="7" spans="1:8">
      <c r="A7" s="25"/>
      <c r="B7" s="1048"/>
      <c r="C7" s="1051"/>
      <c r="D7" s="7" t="s">
        <v>893</v>
      </c>
      <c r="E7" s="9" t="s">
        <v>316</v>
      </c>
      <c r="F7" s="245" t="s">
        <v>212</v>
      </c>
      <c r="G7" s="25"/>
      <c r="H7" s="25"/>
    </row>
    <row r="8" spans="1:8">
      <c r="A8" s="25"/>
      <c r="B8" s="1048"/>
      <c r="C8" s="1051" t="s">
        <v>894</v>
      </c>
      <c r="D8" s="7" t="s">
        <v>895</v>
      </c>
      <c r="E8" s="9" t="s">
        <v>305</v>
      </c>
      <c r="F8" s="249" t="s">
        <v>214</v>
      </c>
      <c r="G8" s="25"/>
      <c r="H8" s="25"/>
    </row>
    <row r="9" spans="1:8">
      <c r="A9" s="25"/>
      <c r="B9" s="1048"/>
      <c r="C9" s="1051"/>
      <c r="D9" s="7" t="s">
        <v>896</v>
      </c>
      <c r="E9" s="9" t="s">
        <v>307</v>
      </c>
      <c r="F9" s="249" t="s">
        <v>214</v>
      </c>
      <c r="G9" s="25"/>
      <c r="H9" s="25"/>
    </row>
    <row r="10" spans="1:8">
      <c r="A10" s="25"/>
      <c r="B10" s="1048"/>
      <c r="C10" s="1051"/>
      <c r="D10" s="7" t="s">
        <v>897</v>
      </c>
      <c r="E10" s="9" t="s">
        <v>898</v>
      </c>
      <c r="F10" s="249" t="s">
        <v>214</v>
      </c>
      <c r="G10" s="25"/>
      <c r="H10" s="25"/>
    </row>
    <row r="11" spans="1:8">
      <c r="A11" s="25"/>
      <c r="B11" s="1048"/>
      <c r="C11" s="1051"/>
      <c r="D11" s="7" t="s">
        <v>899</v>
      </c>
      <c r="E11" s="9" t="s">
        <v>309</v>
      </c>
      <c r="F11" s="249" t="s">
        <v>214</v>
      </c>
      <c r="G11" s="25"/>
      <c r="H11" s="25"/>
    </row>
    <row r="12" spans="1:8">
      <c r="A12" s="25"/>
      <c r="B12" s="1048"/>
      <c r="C12" s="1051"/>
      <c r="D12" s="7" t="s">
        <v>900</v>
      </c>
      <c r="E12" s="9" t="s">
        <v>901</v>
      </c>
      <c r="F12" s="249" t="s">
        <v>214</v>
      </c>
      <c r="G12" s="25"/>
      <c r="H12" s="25"/>
    </row>
    <row r="13" spans="1:8">
      <c r="A13" s="25"/>
      <c r="B13" s="1048"/>
      <c r="C13" s="7" t="s">
        <v>313</v>
      </c>
      <c r="D13" s="7" t="s">
        <v>902</v>
      </c>
      <c r="E13" s="9" t="s">
        <v>313</v>
      </c>
      <c r="F13" s="245" t="s">
        <v>212</v>
      </c>
      <c r="G13" s="25"/>
      <c r="H13" s="25"/>
    </row>
    <row r="14" spans="1:8" ht="15" thickBot="1">
      <c r="A14" s="25"/>
      <c r="B14" s="1049"/>
      <c r="C14" s="233" t="s">
        <v>903</v>
      </c>
      <c r="D14" s="233" t="s">
        <v>904</v>
      </c>
      <c r="E14" s="246" t="s">
        <v>314</v>
      </c>
      <c r="F14" s="247" t="s">
        <v>212</v>
      </c>
      <c r="G14" s="25"/>
      <c r="H14" s="25"/>
    </row>
    <row r="15" spans="1:8">
      <c r="A15" s="25"/>
      <c r="B15" s="1047" t="s">
        <v>905</v>
      </c>
      <c r="C15" s="261" t="s">
        <v>906</v>
      </c>
      <c r="D15" s="261" t="s">
        <v>907</v>
      </c>
      <c r="E15" s="243" t="s">
        <v>318</v>
      </c>
      <c r="F15" s="244" t="s">
        <v>212</v>
      </c>
      <c r="G15" s="25"/>
      <c r="H15" s="25"/>
    </row>
    <row r="16" spans="1:8">
      <c r="A16" s="25"/>
      <c r="B16" s="1048"/>
      <c r="C16" s="7" t="s">
        <v>317</v>
      </c>
      <c r="D16" s="7" t="s">
        <v>908</v>
      </c>
      <c r="E16" s="9" t="s">
        <v>317</v>
      </c>
      <c r="F16" s="245" t="s">
        <v>212</v>
      </c>
      <c r="G16" s="25"/>
      <c r="H16" s="25"/>
    </row>
    <row r="17" spans="1:8">
      <c r="A17" s="25"/>
      <c r="B17" s="1048"/>
      <c r="C17" s="1051" t="s">
        <v>909</v>
      </c>
      <c r="D17" s="7" t="s">
        <v>910</v>
      </c>
      <c r="E17" s="9" t="s">
        <v>319</v>
      </c>
      <c r="F17" s="249" t="s">
        <v>214</v>
      </c>
      <c r="G17" s="25"/>
      <c r="H17" s="25"/>
    </row>
    <row r="18" spans="1:8">
      <c r="A18" s="25"/>
      <c r="B18" s="1048"/>
      <c r="C18" s="1051"/>
      <c r="D18" s="7" t="s">
        <v>911</v>
      </c>
      <c r="E18" s="9" t="s">
        <v>320</v>
      </c>
      <c r="F18" s="249" t="s">
        <v>214</v>
      </c>
      <c r="G18" s="25"/>
      <c r="H18" s="25"/>
    </row>
    <row r="19" spans="1:8" ht="15" thickBot="1">
      <c r="A19" s="25"/>
      <c r="B19" s="1049"/>
      <c r="C19" s="1052"/>
      <c r="D19" s="233" t="s">
        <v>912</v>
      </c>
      <c r="E19" s="246" t="s">
        <v>321</v>
      </c>
      <c r="F19" s="250" t="s">
        <v>214</v>
      </c>
      <c r="G19" s="25"/>
      <c r="H19" s="25"/>
    </row>
    <row r="20" spans="1:8">
      <c r="A20" s="25"/>
      <c r="B20" s="1047" t="s">
        <v>216</v>
      </c>
      <c r="C20" s="261" t="s">
        <v>913</v>
      </c>
      <c r="D20" s="261" t="s">
        <v>914</v>
      </c>
      <c r="E20" s="243" t="s">
        <v>328</v>
      </c>
      <c r="F20" s="244" t="s">
        <v>212</v>
      </c>
      <c r="G20" s="25"/>
      <c r="H20" s="25"/>
    </row>
    <row r="21" spans="1:8">
      <c r="A21" s="25"/>
      <c r="B21" s="1048"/>
      <c r="C21" s="1051" t="s">
        <v>915</v>
      </c>
      <c r="D21" s="7" t="s">
        <v>916</v>
      </c>
      <c r="E21" s="9" t="s">
        <v>322</v>
      </c>
      <c r="F21" s="249" t="s">
        <v>214</v>
      </c>
      <c r="G21" s="25"/>
      <c r="H21" s="25"/>
    </row>
    <row r="22" spans="1:8">
      <c r="A22" s="25"/>
      <c r="B22" s="1048"/>
      <c r="C22" s="1051"/>
      <c r="D22" s="7" t="s">
        <v>917</v>
      </c>
      <c r="E22" s="9" t="s">
        <v>323</v>
      </c>
      <c r="F22" s="249" t="s">
        <v>214</v>
      </c>
      <c r="G22" s="25"/>
      <c r="H22" s="25"/>
    </row>
    <row r="23" spans="1:8">
      <c r="A23" s="25"/>
      <c r="B23" s="1048"/>
      <c r="C23" s="1051"/>
      <c r="D23" s="7" t="s">
        <v>918</v>
      </c>
      <c r="E23" s="9" t="s">
        <v>324</v>
      </c>
      <c r="F23" s="249" t="s">
        <v>214</v>
      </c>
      <c r="G23" s="25"/>
      <c r="H23" s="25"/>
    </row>
    <row r="24" spans="1:8">
      <c r="A24" s="25"/>
      <c r="B24" s="1048"/>
      <c r="C24" s="1051"/>
      <c r="D24" s="7" t="s">
        <v>919</v>
      </c>
      <c r="E24" s="9" t="s">
        <v>325</v>
      </c>
      <c r="F24" s="249" t="s">
        <v>214</v>
      </c>
      <c r="G24" s="25"/>
      <c r="H24" s="25"/>
    </row>
    <row r="25" spans="1:8">
      <c r="A25" s="25"/>
      <c r="B25" s="1048"/>
      <c r="C25" s="1051"/>
      <c r="D25" s="7" t="s">
        <v>920</v>
      </c>
      <c r="E25" s="9" t="s">
        <v>326</v>
      </c>
      <c r="F25" s="249" t="s">
        <v>214</v>
      </c>
      <c r="G25" s="25"/>
      <c r="H25" s="25"/>
    </row>
    <row r="26" spans="1:8">
      <c r="A26" s="25"/>
      <c r="B26" s="1048"/>
      <c r="C26" s="1051"/>
      <c r="D26" s="7" t="s">
        <v>921</v>
      </c>
      <c r="E26" s="9" t="s">
        <v>327</v>
      </c>
      <c r="F26" s="249" t="s">
        <v>214</v>
      </c>
      <c r="G26" s="25"/>
      <c r="H26" s="25"/>
    </row>
    <row r="27" spans="1:8" ht="15" thickBot="1">
      <c r="A27" s="25"/>
      <c r="B27" s="1049"/>
      <c r="C27" s="1052"/>
      <c r="D27" s="233" t="s">
        <v>922</v>
      </c>
      <c r="E27" s="246" t="s">
        <v>923</v>
      </c>
      <c r="F27" s="250" t="s">
        <v>214</v>
      </c>
      <c r="G27" s="25"/>
      <c r="H27" s="25"/>
    </row>
    <row r="28" spans="1:8">
      <c r="A28" s="25"/>
      <c r="B28" s="1047" t="s">
        <v>924</v>
      </c>
      <c r="C28" s="1050" t="s">
        <v>925</v>
      </c>
      <c r="D28" s="261" t="s">
        <v>926</v>
      </c>
      <c r="E28" s="243" t="s">
        <v>927</v>
      </c>
      <c r="F28" s="244" t="s">
        <v>212</v>
      </c>
      <c r="G28" s="25"/>
      <c r="H28" s="25"/>
    </row>
    <row r="29" spans="1:8">
      <c r="A29" s="25"/>
      <c r="B29" s="1048"/>
      <c r="C29" s="1051"/>
      <c r="D29" s="7" t="s">
        <v>928</v>
      </c>
      <c r="E29" s="9" t="s">
        <v>929</v>
      </c>
      <c r="F29" s="249" t="s">
        <v>214</v>
      </c>
      <c r="G29" s="25"/>
      <c r="H29" s="25"/>
    </row>
    <row r="30" spans="1:8">
      <c r="A30" s="25"/>
      <c r="B30" s="1048"/>
      <c r="C30" s="1051"/>
      <c r="D30" s="7" t="s">
        <v>930</v>
      </c>
      <c r="E30" s="9" t="s">
        <v>931</v>
      </c>
      <c r="F30" s="249" t="s">
        <v>214</v>
      </c>
      <c r="G30" s="25"/>
      <c r="H30" s="25"/>
    </row>
    <row r="31" spans="1:8">
      <c r="A31" s="25"/>
      <c r="B31" s="1048"/>
      <c r="C31" s="1051" t="s">
        <v>932</v>
      </c>
      <c r="D31" s="7" t="s">
        <v>933</v>
      </c>
      <c r="E31" s="9" t="s">
        <v>934</v>
      </c>
      <c r="F31" s="245" t="s">
        <v>212</v>
      </c>
      <c r="G31" s="25"/>
      <c r="H31" s="25"/>
    </row>
    <row r="32" spans="1:8">
      <c r="A32" s="25"/>
      <c r="B32" s="1048"/>
      <c r="C32" s="1051"/>
      <c r="D32" s="7" t="s">
        <v>935</v>
      </c>
      <c r="E32" s="9" t="s">
        <v>936</v>
      </c>
      <c r="F32" s="249" t="s">
        <v>214</v>
      </c>
      <c r="G32" s="25"/>
      <c r="H32" s="25"/>
    </row>
    <row r="33" spans="1:8">
      <c r="A33" s="25"/>
      <c r="B33" s="1048"/>
      <c r="C33" s="1051"/>
      <c r="D33" s="7" t="s">
        <v>937</v>
      </c>
      <c r="E33" s="9" t="s">
        <v>938</v>
      </c>
      <c r="F33" s="249" t="s">
        <v>214</v>
      </c>
      <c r="G33" s="25"/>
      <c r="H33" s="25"/>
    </row>
    <row r="34" spans="1:8">
      <c r="A34" s="25"/>
      <c r="B34" s="1048"/>
      <c r="C34" s="7" t="s">
        <v>939</v>
      </c>
      <c r="D34" s="7" t="s">
        <v>940</v>
      </c>
      <c r="E34" s="9" t="s">
        <v>941</v>
      </c>
      <c r="F34" s="251" t="s">
        <v>340</v>
      </c>
      <c r="G34" s="25"/>
      <c r="H34" s="25"/>
    </row>
    <row r="35" spans="1:8">
      <c r="A35" s="25"/>
      <c r="B35" s="1048"/>
      <c r="C35" s="1051" t="s">
        <v>942</v>
      </c>
      <c r="D35" s="7" t="s">
        <v>943</v>
      </c>
      <c r="E35" s="9" t="s">
        <v>944</v>
      </c>
      <c r="F35" s="245" t="s">
        <v>212</v>
      </c>
      <c r="G35" s="25"/>
      <c r="H35" s="25"/>
    </row>
    <row r="36" spans="1:8">
      <c r="A36" s="25"/>
      <c r="B36" s="1048"/>
      <c r="C36" s="1051"/>
      <c r="D36" s="7" t="s">
        <v>945</v>
      </c>
      <c r="E36" s="9" t="s">
        <v>946</v>
      </c>
      <c r="F36" s="245" t="s">
        <v>212</v>
      </c>
      <c r="G36" s="25"/>
      <c r="H36" s="25"/>
    </row>
    <row r="37" spans="1:8">
      <c r="A37" s="25"/>
      <c r="B37" s="1048"/>
      <c r="C37" s="1051"/>
      <c r="D37" s="7" t="s">
        <v>947</v>
      </c>
      <c r="E37" s="9" t="s">
        <v>948</v>
      </c>
      <c r="F37" s="249" t="s">
        <v>214</v>
      </c>
      <c r="G37" s="25"/>
      <c r="H37" s="25"/>
    </row>
    <row r="38" spans="1:8" ht="15" thickBot="1">
      <c r="A38" s="25"/>
      <c r="B38" s="1049"/>
      <c r="C38" s="1052"/>
      <c r="D38" s="233" t="s">
        <v>949</v>
      </c>
      <c r="E38" s="246" t="s">
        <v>950</v>
      </c>
      <c r="F38" s="250" t="s">
        <v>214</v>
      </c>
      <c r="G38" s="25"/>
      <c r="H38" s="25"/>
    </row>
    <row r="39" spans="1:8">
      <c r="A39" s="25"/>
      <c r="B39" s="1053" t="s">
        <v>951</v>
      </c>
      <c r="C39" s="261" t="s">
        <v>952</v>
      </c>
      <c r="D39" s="261" t="s">
        <v>953</v>
      </c>
      <c r="E39" s="243" t="s">
        <v>375</v>
      </c>
      <c r="F39" s="244" t="s">
        <v>954</v>
      </c>
      <c r="G39" s="25"/>
      <c r="H39" s="25"/>
    </row>
    <row r="40" spans="1:8">
      <c r="A40" s="25"/>
      <c r="B40" s="1054"/>
      <c r="C40" s="7" t="s">
        <v>952</v>
      </c>
      <c r="D40" s="7" t="s">
        <v>955</v>
      </c>
      <c r="E40" s="9" t="s">
        <v>374</v>
      </c>
      <c r="F40" s="245" t="s">
        <v>954</v>
      </c>
      <c r="G40" s="25"/>
      <c r="H40" s="25"/>
    </row>
    <row r="41" spans="1:8" ht="29.4" thickBot="1">
      <c r="A41" s="25"/>
      <c r="B41" s="1055"/>
      <c r="C41" s="233" t="s">
        <v>952</v>
      </c>
      <c r="D41" s="233" t="s">
        <v>956</v>
      </c>
      <c r="E41" s="246" t="s">
        <v>957</v>
      </c>
      <c r="F41" s="250" t="s">
        <v>214</v>
      </c>
      <c r="G41" s="25"/>
      <c r="H41" s="25"/>
    </row>
    <row r="42" spans="1:8">
      <c r="A42" s="25"/>
      <c r="B42" s="1047" t="s">
        <v>218</v>
      </c>
      <c r="C42" s="261" t="s">
        <v>952</v>
      </c>
      <c r="D42" s="261" t="s">
        <v>958</v>
      </c>
      <c r="E42" s="243" t="s">
        <v>372</v>
      </c>
      <c r="F42" s="244" t="s">
        <v>954</v>
      </c>
      <c r="G42" s="25"/>
      <c r="H42" s="25"/>
    </row>
    <row r="43" spans="1:8">
      <c r="A43" s="25"/>
      <c r="B43" s="1048"/>
      <c r="C43" s="7" t="s">
        <v>952</v>
      </c>
      <c r="D43" s="7" t="s">
        <v>959</v>
      </c>
      <c r="E43" s="9" t="s">
        <v>366</v>
      </c>
      <c r="F43" s="245" t="s">
        <v>954</v>
      </c>
      <c r="G43" s="25"/>
      <c r="H43" s="25"/>
    </row>
    <row r="44" spans="1:8">
      <c r="A44" s="25"/>
      <c r="B44" s="1048"/>
      <c r="C44" s="7" t="s">
        <v>952</v>
      </c>
      <c r="D44" s="7" t="s">
        <v>960</v>
      </c>
      <c r="E44" s="9" t="s">
        <v>370</v>
      </c>
      <c r="F44" s="245" t="s">
        <v>954</v>
      </c>
      <c r="G44" s="25"/>
      <c r="H44" s="25"/>
    </row>
    <row r="45" spans="1:8">
      <c r="A45" s="25"/>
      <c r="B45" s="1048"/>
      <c r="C45" s="7" t="s">
        <v>952</v>
      </c>
      <c r="D45" s="7" t="s">
        <v>961</v>
      </c>
      <c r="E45" s="9" t="s">
        <v>367</v>
      </c>
      <c r="F45" s="245" t="s">
        <v>212</v>
      </c>
      <c r="G45" s="25"/>
      <c r="H45" s="25"/>
    </row>
    <row r="46" spans="1:8">
      <c r="A46" s="25"/>
      <c r="B46" s="1048"/>
      <c r="C46" s="7" t="s">
        <v>952</v>
      </c>
      <c r="D46" s="7" t="s">
        <v>962</v>
      </c>
      <c r="E46" s="9" t="s">
        <v>369</v>
      </c>
      <c r="F46" s="245" t="s">
        <v>954</v>
      </c>
      <c r="G46" s="25"/>
      <c r="H46" s="25"/>
    </row>
    <row r="47" spans="1:8">
      <c r="A47" s="25"/>
      <c r="B47" s="1048"/>
      <c r="C47" s="7" t="s">
        <v>952</v>
      </c>
      <c r="D47" s="7" t="s">
        <v>963</v>
      </c>
      <c r="E47" s="9" t="s">
        <v>368</v>
      </c>
      <c r="F47" s="245" t="s">
        <v>212</v>
      </c>
      <c r="G47" s="25"/>
      <c r="H47" s="25"/>
    </row>
    <row r="48" spans="1:8">
      <c r="A48" s="25"/>
      <c r="B48" s="1048"/>
      <c r="C48" s="7" t="s">
        <v>952</v>
      </c>
      <c r="D48" s="7" t="s">
        <v>964</v>
      </c>
      <c r="E48" s="9" t="s">
        <v>371</v>
      </c>
      <c r="F48" s="245" t="s">
        <v>954</v>
      </c>
      <c r="G48" s="25"/>
      <c r="H48" s="25"/>
    </row>
    <row r="49" spans="1:8">
      <c r="A49" s="25"/>
      <c r="B49" s="1048"/>
      <c r="C49" s="7" t="s">
        <v>952</v>
      </c>
      <c r="D49" s="7" t="s">
        <v>965</v>
      </c>
      <c r="E49" s="9" t="s">
        <v>966</v>
      </c>
      <c r="F49" s="245" t="s">
        <v>212</v>
      </c>
      <c r="G49" s="25"/>
      <c r="H49" s="25"/>
    </row>
    <row r="50" spans="1:8">
      <c r="A50" s="25"/>
      <c r="B50" s="1048"/>
      <c r="C50" s="7" t="s">
        <v>952</v>
      </c>
      <c r="D50" s="7" t="s">
        <v>967</v>
      </c>
      <c r="E50" s="9" t="s">
        <v>968</v>
      </c>
      <c r="F50" s="249" t="s">
        <v>214</v>
      </c>
      <c r="G50" s="25"/>
      <c r="H50" s="25"/>
    </row>
    <row r="51" spans="1:8" ht="15" thickBot="1">
      <c r="A51" s="25"/>
      <c r="B51" s="1049"/>
      <c r="C51" s="233" t="s">
        <v>952</v>
      </c>
      <c r="D51" s="233" t="s">
        <v>969</v>
      </c>
      <c r="E51" s="246" t="s">
        <v>373</v>
      </c>
      <c r="F51" s="250" t="s">
        <v>214</v>
      </c>
      <c r="G51" s="25"/>
      <c r="H51" s="25"/>
    </row>
    <row r="52" spans="1:8">
      <c r="A52" s="25"/>
      <c r="B52" s="1047" t="s">
        <v>219</v>
      </c>
      <c r="C52" s="261" t="s">
        <v>334</v>
      </c>
      <c r="D52" s="261" t="s">
        <v>970</v>
      </c>
      <c r="E52" s="243" t="s">
        <v>334</v>
      </c>
      <c r="F52" s="248" t="s">
        <v>214</v>
      </c>
      <c r="G52" s="25"/>
      <c r="H52" s="25"/>
    </row>
    <row r="53" spans="1:8" ht="15" thickBot="1">
      <c r="A53" s="25"/>
      <c r="B53" s="1049"/>
      <c r="C53" s="233" t="s">
        <v>971</v>
      </c>
      <c r="D53" s="233" t="s">
        <v>972</v>
      </c>
      <c r="E53" s="246" t="s">
        <v>973</v>
      </c>
      <c r="F53" s="250" t="s">
        <v>214</v>
      </c>
      <c r="G53" s="25"/>
      <c r="H53" s="25"/>
    </row>
    <row r="54" spans="1:8">
      <c r="A54" s="25"/>
      <c r="B54" s="1047" t="s">
        <v>974</v>
      </c>
      <c r="C54" s="261" t="s">
        <v>975</v>
      </c>
      <c r="D54" s="261" t="s">
        <v>976</v>
      </c>
      <c r="E54" s="243" t="s">
        <v>268</v>
      </c>
      <c r="F54" s="248" t="s">
        <v>214</v>
      </c>
      <c r="G54" s="25"/>
      <c r="H54" s="25"/>
    </row>
    <row r="55" spans="1:8">
      <c r="A55" s="25"/>
      <c r="B55" s="1048"/>
      <c r="C55" s="7" t="s">
        <v>270</v>
      </c>
      <c r="D55" s="7" t="s">
        <v>977</v>
      </c>
      <c r="E55" s="9" t="s">
        <v>270</v>
      </c>
      <c r="F55" s="245" t="s">
        <v>212</v>
      </c>
      <c r="G55" s="25"/>
      <c r="H55" s="25"/>
    </row>
    <row r="56" spans="1:8" ht="15" thickBot="1">
      <c r="A56" s="25"/>
      <c r="B56" s="1049"/>
      <c r="C56" s="233" t="s">
        <v>978</v>
      </c>
      <c r="D56" s="233" t="s">
        <v>979</v>
      </c>
      <c r="E56" s="246" t="s">
        <v>269</v>
      </c>
      <c r="F56" s="250" t="s">
        <v>214</v>
      </c>
      <c r="G56" s="25"/>
      <c r="H56" s="25"/>
    </row>
    <row r="57" spans="1:8">
      <c r="A57" s="25"/>
      <c r="B57" s="1047" t="s">
        <v>220</v>
      </c>
      <c r="C57" s="261" t="s">
        <v>980</v>
      </c>
      <c r="D57" s="261" t="s">
        <v>981</v>
      </c>
      <c r="E57" s="243" t="s">
        <v>335</v>
      </c>
      <c r="F57" s="244" t="s">
        <v>212</v>
      </c>
      <c r="G57" s="25"/>
      <c r="H57" s="25"/>
    </row>
    <row r="58" spans="1:8" ht="15" thickBot="1">
      <c r="A58" s="25"/>
      <c r="B58" s="1049"/>
      <c r="C58" s="233" t="s">
        <v>982</v>
      </c>
      <c r="D58" s="233" t="s">
        <v>983</v>
      </c>
      <c r="E58" s="246" t="s">
        <v>336</v>
      </c>
      <c r="F58" s="250" t="s">
        <v>214</v>
      </c>
      <c r="G58" s="25"/>
      <c r="H58" s="25"/>
    </row>
    <row r="59" spans="1:8">
      <c r="A59" s="25"/>
      <c r="B59" s="1047" t="s">
        <v>221</v>
      </c>
      <c r="C59" s="261" t="s">
        <v>338</v>
      </c>
      <c r="D59" s="261" t="s">
        <v>984</v>
      </c>
      <c r="E59" s="243" t="s">
        <v>338</v>
      </c>
      <c r="F59" s="244" t="s">
        <v>212</v>
      </c>
      <c r="G59" s="25"/>
      <c r="H59" s="25"/>
    </row>
    <row r="60" spans="1:8">
      <c r="A60" s="25"/>
      <c r="B60" s="1048"/>
      <c r="C60" s="7" t="s">
        <v>985</v>
      </c>
      <c r="D60" s="7" t="s">
        <v>986</v>
      </c>
      <c r="E60" s="9" t="s">
        <v>987</v>
      </c>
      <c r="F60" s="245" t="s">
        <v>212</v>
      </c>
      <c r="G60" s="25"/>
      <c r="H60" s="25"/>
    </row>
    <row r="61" spans="1:8">
      <c r="A61" s="25"/>
      <c r="B61" s="1048"/>
      <c r="C61" s="7" t="s">
        <v>988</v>
      </c>
      <c r="D61" s="7" t="s">
        <v>989</v>
      </c>
      <c r="E61" s="9" t="s">
        <v>990</v>
      </c>
      <c r="F61" s="249" t="s">
        <v>214</v>
      </c>
      <c r="G61" s="25"/>
      <c r="H61" s="25"/>
    </row>
    <row r="62" spans="1:8">
      <c r="A62" s="25"/>
      <c r="B62" s="1048"/>
      <c r="C62" s="7" t="s">
        <v>342</v>
      </c>
      <c r="D62" s="7" t="s">
        <v>991</v>
      </c>
      <c r="E62" s="9" t="s">
        <v>342</v>
      </c>
      <c r="F62" s="245" t="s">
        <v>212</v>
      </c>
      <c r="G62" s="25"/>
      <c r="H62" s="25"/>
    </row>
    <row r="63" spans="1:8">
      <c r="A63" s="25"/>
      <c r="B63" s="1048"/>
      <c r="C63" s="7" t="s">
        <v>992</v>
      </c>
      <c r="D63" s="7" t="s">
        <v>993</v>
      </c>
      <c r="E63" s="9" t="s">
        <v>345</v>
      </c>
      <c r="F63" s="249" t="s">
        <v>214</v>
      </c>
      <c r="G63" s="25"/>
      <c r="H63" s="25"/>
    </row>
    <row r="64" spans="1:8">
      <c r="A64" s="25"/>
      <c r="B64" s="1048"/>
      <c r="C64" s="1051" t="s">
        <v>994</v>
      </c>
      <c r="D64" s="7" t="s">
        <v>995</v>
      </c>
      <c r="E64" s="9" t="s">
        <v>358</v>
      </c>
      <c r="F64" s="245" t="s">
        <v>212</v>
      </c>
      <c r="G64" s="25"/>
      <c r="H64" s="25"/>
    </row>
    <row r="65" spans="1:8">
      <c r="A65" s="25"/>
      <c r="B65" s="1048"/>
      <c r="C65" s="1051"/>
      <c r="D65" s="7" t="s">
        <v>996</v>
      </c>
      <c r="E65" s="9" t="s">
        <v>997</v>
      </c>
      <c r="F65" s="251" t="s">
        <v>340</v>
      </c>
      <c r="G65" s="25"/>
      <c r="H65" s="25"/>
    </row>
    <row r="66" spans="1:8">
      <c r="A66" s="25"/>
      <c r="B66" s="1048"/>
      <c r="C66" s="7" t="s">
        <v>998</v>
      </c>
      <c r="D66" s="7" t="s">
        <v>999</v>
      </c>
      <c r="E66" s="9" t="s">
        <v>1000</v>
      </c>
      <c r="F66" s="249" t="s">
        <v>214</v>
      </c>
      <c r="G66" s="25"/>
      <c r="H66" s="25"/>
    </row>
    <row r="67" spans="1:8">
      <c r="A67" s="25"/>
      <c r="B67" s="1048"/>
      <c r="C67" s="7" t="s">
        <v>1001</v>
      </c>
      <c r="D67" s="7" t="s">
        <v>1002</v>
      </c>
      <c r="E67" s="9" t="s">
        <v>347</v>
      </c>
      <c r="F67" s="245" t="s">
        <v>212</v>
      </c>
      <c r="G67" s="25"/>
      <c r="H67" s="25"/>
    </row>
    <row r="68" spans="1:8">
      <c r="A68" s="25"/>
      <c r="B68" s="1048"/>
      <c r="C68" s="1051" t="s">
        <v>1003</v>
      </c>
      <c r="D68" s="7" t="s">
        <v>1004</v>
      </c>
      <c r="E68" s="9" t="s">
        <v>348</v>
      </c>
      <c r="F68" s="245" t="s">
        <v>212</v>
      </c>
      <c r="G68" s="25"/>
      <c r="H68" s="25"/>
    </row>
    <row r="69" spans="1:8">
      <c r="A69" s="25"/>
      <c r="B69" s="1048"/>
      <c r="C69" s="1051"/>
      <c r="D69" s="7" t="s">
        <v>1005</v>
      </c>
      <c r="E69" s="9" t="s">
        <v>349</v>
      </c>
      <c r="F69" s="245" t="s">
        <v>212</v>
      </c>
      <c r="G69" s="25"/>
      <c r="H69" s="25"/>
    </row>
    <row r="70" spans="1:8">
      <c r="A70" s="25"/>
      <c r="B70" s="1048"/>
      <c r="C70" s="7" t="s">
        <v>1006</v>
      </c>
      <c r="D70" s="7" t="s">
        <v>1007</v>
      </c>
      <c r="E70" s="9" t="s">
        <v>346</v>
      </c>
      <c r="F70" s="251" t="s">
        <v>340</v>
      </c>
      <c r="G70" s="25"/>
      <c r="H70" s="25"/>
    </row>
    <row r="71" spans="1:8">
      <c r="A71" s="25"/>
      <c r="B71" s="1048"/>
      <c r="C71" s="7" t="s">
        <v>1008</v>
      </c>
      <c r="D71" s="7" t="s">
        <v>1009</v>
      </c>
      <c r="E71" s="9" t="s">
        <v>331</v>
      </c>
      <c r="F71" s="245" t="s">
        <v>212</v>
      </c>
      <c r="G71" s="25"/>
      <c r="H71" s="25"/>
    </row>
    <row r="72" spans="1:8">
      <c r="A72" s="25"/>
      <c r="B72" s="1048"/>
      <c r="C72" s="7" t="s">
        <v>1010</v>
      </c>
      <c r="D72" s="7" t="s">
        <v>1011</v>
      </c>
      <c r="E72" s="9" t="s">
        <v>352</v>
      </c>
      <c r="F72" s="245" t="s">
        <v>212</v>
      </c>
      <c r="G72" s="25"/>
      <c r="H72" s="25"/>
    </row>
    <row r="73" spans="1:8">
      <c r="A73" s="25"/>
      <c r="B73" s="1048"/>
      <c r="C73" s="7" t="s">
        <v>1012</v>
      </c>
      <c r="D73" s="7" t="s">
        <v>1013</v>
      </c>
      <c r="E73" s="9" t="s">
        <v>339</v>
      </c>
      <c r="F73" s="251" t="s">
        <v>340</v>
      </c>
      <c r="G73" s="25"/>
      <c r="H73" s="25"/>
    </row>
    <row r="74" spans="1:8">
      <c r="A74" s="25"/>
      <c r="B74" s="1048"/>
      <c r="C74" s="7" t="s">
        <v>1014</v>
      </c>
      <c r="D74" s="7" t="s">
        <v>1015</v>
      </c>
      <c r="E74" s="9" t="s">
        <v>350</v>
      </c>
      <c r="F74" s="245" t="s">
        <v>212</v>
      </c>
      <c r="G74" s="25"/>
      <c r="H74" s="25"/>
    </row>
    <row r="75" spans="1:8">
      <c r="A75" s="25"/>
      <c r="B75" s="1048"/>
      <c r="C75" s="7" t="s">
        <v>1016</v>
      </c>
      <c r="D75" s="7" t="s">
        <v>1017</v>
      </c>
      <c r="E75" s="9" t="s">
        <v>1018</v>
      </c>
      <c r="F75" s="245" t="s">
        <v>212</v>
      </c>
      <c r="G75" s="25"/>
      <c r="H75" s="25"/>
    </row>
    <row r="76" spans="1:8">
      <c r="A76" s="25"/>
      <c r="B76" s="1048"/>
      <c r="C76" s="7" t="s">
        <v>1019</v>
      </c>
      <c r="D76" s="7" t="s">
        <v>1020</v>
      </c>
      <c r="E76" s="9" t="s">
        <v>1021</v>
      </c>
      <c r="F76" s="245" t="s">
        <v>212</v>
      </c>
      <c r="G76" s="25"/>
      <c r="H76" s="25"/>
    </row>
    <row r="77" spans="1:8">
      <c r="A77" s="25"/>
      <c r="B77" s="1048"/>
      <c r="C77" s="1051" t="s">
        <v>1022</v>
      </c>
      <c r="D77" s="7" t="s">
        <v>1023</v>
      </c>
      <c r="E77" s="9" t="s">
        <v>353</v>
      </c>
      <c r="F77" s="245" t="s">
        <v>212</v>
      </c>
      <c r="G77" s="25"/>
      <c r="H77" s="25"/>
    </row>
    <row r="78" spans="1:8">
      <c r="A78" s="25"/>
      <c r="B78" s="1048"/>
      <c r="C78" s="1051"/>
      <c r="D78" s="7" t="s">
        <v>1024</v>
      </c>
      <c r="E78" s="9" t="s">
        <v>1025</v>
      </c>
      <c r="F78" s="245" t="s">
        <v>212</v>
      </c>
      <c r="G78" s="25"/>
      <c r="H78" s="25"/>
    </row>
    <row r="79" spans="1:8" ht="15" thickBot="1">
      <c r="A79" s="25"/>
      <c r="B79" s="1049"/>
      <c r="C79" s="233" t="s">
        <v>1026</v>
      </c>
      <c r="D79" s="233" t="s">
        <v>1027</v>
      </c>
      <c r="E79" s="246" t="s">
        <v>344</v>
      </c>
      <c r="F79" s="255" t="s">
        <v>340</v>
      </c>
      <c r="G79" s="25"/>
      <c r="H79" s="25"/>
    </row>
    <row r="80" spans="1:8">
      <c r="A80" s="25"/>
      <c r="B80" s="1047" t="s">
        <v>222</v>
      </c>
      <c r="C80" s="1050" t="s">
        <v>1028</v>
      </c>
      <c r="D80" s="261" t="s">
        <v>1029</v>
      </c>
      <c r="E80" s="243" t="s">
        <v>360</v>
      </c>
      <c r="F80" s="244" t="s">
        <v>212</v>
      </c>
      <c r="G80" s="25"/>
      <c r="H80" s="25"/>
    </row>
    <row r="81" spans="1:8">
      <c r="A81" s="25"/>
      <c r="B81" s="1048"/>
      <c r="C81" s="1051"/>
      <c r="D81" s="7" t="s">
        <v>1030</v>
      </c>
      <c r="E81" s="9" t="s">
        <v>1031</v>
      </c>
      <c r="F81" s="249" t="s">
        <v>214</v>
      </c>
      <c r="G81" s="25"/>
      <c r="H81" s="25"/>
    </row>
    <row r="82" spans="1:8">
      <c r="A82" s="25"/>
      <c r="B82" s="1048"/>
      <c r="C82" s="7" t="s">
        <v>1032</v>
      </c>
      <c r="D82" s="7" t="s">
        <v>1033</v>
      </c>
      <c r="E82" s="9" t="s">
        <v>362</v>
      </c>
      <c r="F82" s="249" t="s">
        <v>214</v>
      </c>
      <c r="G82" s="25"/>
      <c r="H82" s="25"/>
    </row>
    <row r="83" spans="1:8" ht="15" thickBot="1">
      <c r="A83" s="25"/>
      <c r="B83" s="1049"/>
      <c r="C83" s="233" t="s">
        <v>1034</v>
      </c>
      <c r="D83" s="233" t="s">
        <v>1035</v>
      </c>
      <c r="E83" s="246" t="s">
        <v>363</v>
      </c>
      <c r="F83" s="250" t="s">
        <v>214</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pageSetUpPr fitToPage="1"/>
  </sheetPr>
  <dimension ref="A1:K39"/>
  <sheetViews>
    <sheetView topLeftCell="A7" zoomScale="80" zoomScaleNormal="80" workbookViewId="0">
      <selection activeCell="E17" sqref="E17:I17"/>
    </sheetView>
  </sheetViews>
  <sheetFormatPr defaultColWidth="0" defaultRowHeight="0" customHeight="1" zeroHeight="1"/>
  <cols>
    <col min="1" max="1" width="4.5546875" customWidth="1"/>
    <col min="2" max="3" width="39.21875" customWidth="1"/>
    <col min="4" max="4" width="70.77734375" customWidth="1"/>
    <col min="5" max="5" width="6" customWidth="1"/>
    <col min="6" max="6" width="13.77734375" customWidth="1"/>
    <col min="7" max="11" width="8.77734375" customWidth="1"/>
    <col min="12" max="16384" width="8.77734375" hidden="1"/>
  </cols>
  <sheetData>
    <row r="1" spans="1:11" ht="15" thickBot="1">
      <c r="A1" s="25"/>
      <c r="B1" s="25"/>
      <c r="C1" s="25"/>
      <c r="D1" s="25"/>
      <c r="E1" s="25"/>
      <c r="F1" s="25"/>
      <c r="G1" s="25"/>
      <c r="H1" s="25"/>
      <c r="I1" s="25"/>
      <c r="J1" s="25"/>
      <c r="K1" s="25"/>
    </row>
    <row r="2" spans="1:11" ht="32.549999999999997" customHeight="1" thickBot="1">
      <c r="A2" s="25"/>
      <c r="B2" s="611" t="s">
        <v>16</v>
      </c>
      <c r="C2" s="612"/>
      <c r="D2" s="264" t="s">
        <v>17</v>
      </c>
      <c r="E2" s="40"/>
      <c r="F2" s="25"/>
      <c r="G2" s="25"/>
      <c r="H2" s="25"/>
      <c r="I2" s="25"/>
      <c r="J2" s="25"/>
      <c r="K2" s="25"/>
    </row>
    <row r="3" spans="1:11" ht="42" customHeight="1">
      <c r="A3" s="25"/>
      <c r="B3" s="613" t="s">
        <v>18</v>
      </c>
      <c r="C3" s="614"/>
      <c r="D3" s="31" t="s">
        <v>512</v>
      </c>
      <c r="E3" s="25"/>
      <c r="F3" s="25"/>
      <c r="G3" s="25"/>
      <c r="H3" s="25"/>
      <c r="I3" s="25"/>
      <c r="J3" s="25"/>
      <c r="K3" s="25"/>
    </row>
    <row r="4" spans="1:11" ht="42" customHeight="1">
      <c r="A4" s="25"/>
      <c r="B4" s="609" t="s">
        <v>19</v>
      </c>
      <c r="C4" s="610"/>
      <c r="D4" s="32" t="s">
        <v>1037</v>
      </c>
      <c r="E4" s="25"/>
      <c r="F4" s="25"/>
      <c r="G4" s="25"/>
      <c r="H4" s="25"/>
      <c r="I4" s="25"/>
      <c r="J4" s="25"/>
      <c r="K4" s="25"/>
    </row>
    <row r="5" spans="1:11" ht="42" customHeight="1">
      <c r="A5" s="25"/>
      <c r="B5" s="609" t="s">
        <v>20</v>
      </c>
      <c r="C5" s="610"/>
      <c r="D5" s="32" t="s">
        <v>1036</v>
      </c>
      <c r="E5" s="25"/>
      <c r="F5" s="25"/>
      <c r="G5" s="25"/>
      <c r="H5" s="25"/>
      <c r="I5" s="25"/>
      <c r="J5" s="25"/>
      <c r="K5" s="25"/>
    </row>
    <row r="6" spans="1:11" ht="42" customHeight="1">
      <c r="A6" s="25"/>
      <c r="B6" s="609" t="s">
        <v>21</v>
      </c>
      <c r="C6" s="610"/>
      <c r="D6" s="32" t="s">
        <v>473</v>
      </c>
      <c r="E6" s="25"/>
      <c r="F6" s="25"/>
      <c r="G6" s="25"/>
      <c r="H6" s="25"/>
      <c r="I6" s="25"/>
      <c r="J6" s="25"/>
      <c r="K6" s="25"/>
    </row>
    <row r="7" spans="1:11" ht="42" customHeight="1">
      <c r="A7" s="25"/>
      <c r="B7" s="609" t="s">
        <v>22</v>
      </c>
      <c r="C7" s="610"/>
      <c r="D7" s="32" t="s">
        <v>1038</v>
      </c>
      <c r="E7" s="25"/>
      <c r="F7" s="25"/>
      <c r="G7" s="25"/>
      <c r="H7" s="25"/>
      <c r="I7" s="25"/>
      <c r="J7" s="25"/>
      <c r="K7" s="25"/>
    </row>
    <row r="8" spans="1:11" ht="42" customHeight="1">
      <c r="A8" s="25"/>
      <c r="B8" s="609" t="s">
        <v>23</v>
      </c>
      <c r="C8" s="610"/>
      <c r="D8" s="32" t="s">
        <v>1039</v>
      </c>
      <c r="E8" s="25"/>
      <c r="F8" s="25"/>
      <c r="G8" s="25"/>
      <c r="H8" s="25"/>
      <c r="I8" s="25"/>
      <c r="J8" s="25"/>
      <c r="K8" s="25"/>
    </row>
    <row r="9" spans="1:11" ht="42" customHeight="1">
      <c r="A9" s="25"/>
      <c r="B9" s="609" t="s">
        <v>24</v>
      </c>
      <c r="C9" s="610"/>
      <c r="D9" s="291">
        <v>45344</v>
      </c>
      <c r="E9" s="25"/>
      <c r="F9" s="25"/>
      <c r="G9" s="25"/>
      <c r="H9" s="25"/>
      <c r="I9" s="25"/>
      <c r="J9" s="25"/>
      <c r="K9" s="25"/>
    </row>
    <row r="10" spans="1:11" ht="42" customHeight="1">
      <c r="A10" s="25"/>
      <c r="B10" s="609" t="s">
        <v>25</v>
      </c>
      <c r="C10" s="610"/>
      <c r="D10" s="32">
        <v>0</v>
      </c>
      <c r="E10" s="25"/>
      <c r="F10" s="25"/>
      <c r="G10" s="25"/>
      <c r="H10" s="25"/>
      <c r="I10" s="25"/>
      <c r="J10" s="25"/>
      <c r="K10" s="25"/>
    </row>
    <row r="11" spans="1:11" ht="42" customHeight="1" thickBot="1">
      <c r="A11" s="25"/>
      <c r="B11" s="615" t="s">
        <v>26</v>
      </c>
      <c r="C11" s="616"/>
      <c r="D11" s="205" t="s">
        <v>1040</v>
      </c>
      <c r="E11" s="25"/>
      <c r="F11" s="25"/>
      <c r="G11" s="25"/>
      <c r="H11" s="25"/>
      <c r="I11" s="25"/>
      <c r="J11" s="25"/>
      <c r="K11" s="25"/>
    </row>
    <row r="12" spans="1:11" ht="42" customHeight="1" thickBot="1">
      <c r="A12" s="25"/>
      <c r="B12" s="56" t="s">
        <v>27</v>
      </c>
      <c r="C12" s="149"/>
      <c r="D12" s="150"/>
      <c r="E12" s="25"/>
      <c r="F12" s="25"/>
      <c r="G12" s="25"/>
      <c r="H12" s="25"/>
      <c r="I12" s="25"/>
      <c r="J12" s="25"/>
      <c r="K12" s="25"/>
    </row>
    <row r="13" spans="1:11" ht="42" customHeight="1">
      <c r="A13" s="25"/>
      <c r="B13" s="618" t="s">
        <v>28</v>
      </c>
      <c r="C13" s="151" t="s">
        <v>29</v>
      </c>
      <c r="D13" s="33">
        <v>10</v>
      </c>
      <c r="E13" s="622" t="str">
        <f>IF(D13&lt;10,"Caution - % target reduced below default ▲",IF(D13&gt;10,"Caution -Target increased above default ⚠",""))</f>
        <v/>
      </c>
      <c r="F13" s="623"/>
      <c r="G13" s="623"/>
      <c r="H13" s="623"/>
      <c r="I13" s="623"/>
      <c r="J13" s="443"/>
      <c r="K13" s="25"/>
    </row>
    <row r="14" spans="1:11" ht="42" customHeight="1">
      <c r="A14" s="25"/>
      <c r="B14" s="619"/>
      <c r="C14" s="152" t="s">
        <v>30</v>
      </c>
      <c r="D14" s="34">
        <v>10</v>
      </c>
      <c r="E14" s="622" t="str">
        <f t="shared" ref="E14:E15" si="0">IF(D14&lt;10,"Caution - % target reduced below default ▲",IF(D14&gt;10,"Caution -Target increased above default ⚠",""))</f>
        <v/>
      </c>
      <c r="F14" s="623"/>
      <c r="G14" s="623"/>
      <c r="H14" s="623"/>
      <c r="I14" s="623"/>
      <c r="J14" s="25"/>
      <c r="K14" s="25"/>
    </row>
    <row r="15" spans="1:11" ht="42" customHeight="1" thickBot="1">
      <c r="A15" s="25"/>
      <c r="B15" s="620"/>
      <c r="C15" s="153" t="s">
        <v>31</v>
      </c>
      <c r="D15" s="35">
        <v>10</v>
      </c>
      <c r="E15" s="622" t="str">
        <f t="shared" si="0"/>
        <v/>
      </c>
      <c r="F15" s="623"/>
      <c r="G15" s="623"/>
      <c r="H15" s="623"/>
      <c r="I15" s="623"/>
      <c r="J15" s="25"/>
      <c r="K15" s="25"/>
    </row>
    <row r="16" spans="1:11" ht="36.6" customHeight="1" thickBot="1">
      <c r="A16" s="25"/>
      <c r="B16" s="157"/>
      <c r="C16" s="157"/>
      <c r="D16" s="509"/>
      <c r="E16" s="25"/>
      <c r="F16" s="25"/>
      <c r="G16" s="25"/>
      <c r="H16" s="25"/>
      <c r="I16" s="25"/>
      <c r="J16" s="25"/>
      <c r="K16" s="25"/>
    </row>
    <row r="17" spans="1:11" ht="40.950000000000003" customHeight="1">
      <c r="A17" s="25"/>
      <c r="B17" s="618" t="s">
        <v>32</v>
      </c>
      <c r="C17" s="151" t="s">
        <v>33</v>
      </c>
      <c r="D17" s="33">
        <v>0</v>
      </c>
      <c r="E17" s="621" t="str">
        <f>IF(D17=0,"","Unit increase Targets must be agreed with LPA ⚠")</f>
        <v/>
      </c>
      <c r="F17" s="621"/>
      <c r="G17" s="621"/>
      <c r="H17" s="621"/>
      <c r="I17" s="621"/>
      <c r="J17" s="25"/>
      <c r="K17" s="25"/>
    </row>
    <row r="18" spans="1:11" ht="40.950000000000003" customHeight="1">
      <c r="A18" s="25"/>
      <c r="B18" s="619"/>
      <c r="C18" s="152" t="s">
        <v>34</v>
      </c>
      <c r="D18" s="34">
        <v>0</v>
      </c>
      <c r="E18" s="621" t="str">
        <f t="shared" ref="E18:E19" si="1">IF(D18=0,"","Unit increase Targets must be agreed with LPA ⚠")</f>
        <v/>
      </c>
      <c r="F18" s="621"/>
      <c r="G18" s="621"/>
      <c r="H18" s="621"/>
      <c r="I18" s="621"/>
      <c r="J18" s="25"/>
      <c r="K18" s="25"/>
    </row>
    <row r="19" spans="1:11" ht="40.950000000000003" customHeight="1" thickBot="1">
      <c r="A19" s="25"/>
      <c r="B19" s="620"/>
      <c r="C19" s="153" t="s">
        <v>35</v>
      </c>
      <c r="D19" s="35">
        <v>0</v>
      </c>
      <c r="E19" s="621" t="str">
        <f t="shared" si="1"/>
        <v/>
      </c>
      <c r="F19" s="621"/>
      <c r="G19" s="621"/>
      <c r="H19" s="621"/>
      <c r="I19" s="621"/>
      <c r="J19" s="25"/>
      <c r="K19" s="25"/>
    </row>
    <row r="20" spans="1:11" ht="23.55" customHeight="1">
      <c r="A20" s="25"/>
      <c r="B20" s="25"/>
      <c r="C20" s="25"/>
      <c r="D20" s="25"/>
      <c r="E20" s="157"/>
      <c r="F20" s="157"/>
      <c r="G20" s="157"/>
      <c r="H20" s="157"/>
      <c r="I20" s="157"/>
      <c r="J20" s="25"/>
      <c r="K20" s="25"/>
    </row>
    <row r="21" spans="1:11" ht="34.200000000000003" customHeight="1" thickBot="1">
      <c r="A21" s="25"/>
      <c r="B21" s="617" t="s">
        <v>36</v>
      </c>
      <c r="C21" s="617"/>
      <c r="D21" s="617"/>
      <c r="E21" s="157"/>
      <c r="F21" s="157"/>
      <c r="G21" s="157"/>
      <c r="H21" s="157"/>
      <c r="I21" s="157"/>
      <c r="J21" s="25"/>
      <c r="K21" s="25"/>
    </row>
    <row r="22" spans="1:11" ht="40.950000000000003" customHeight="1">
      <c r="A22" s="25"/>
      <c r="B22" s="613" t="s">
        <v>37</v>
      </c>
      <c r="C22" s="614"/>
      <c r="D22" s="31"/>
      <c r="E22" s="157"/>
      <c r="F22" s="157"/>
      <c r="G22" s="157"/>
      <c r="H22" s="157"/>
      <c r="I22" s="157"/>
      <c r="J22" s="25"/>
      <c r="K22" s="25"/>
    </row>
    <row r="23" spans="1:11" ht="40.950000000000003" customHeight="1" thickBot="1">
      <c r="A23" s="25"/>
      <c r="B23" s="615" t="s">
        <v>38</v>
      </c>
      <c r="C23" s="616"/>
      <c r="D23" s="292"/>
      <c r="E23" s="157"/>
      <c r="F23" s="157"/>
      <c r="G23" s="157"/>
      <c r="H23" s="157"/>
      <c r="I23" s="157"/>
      <c r="J23" s="25"/>
      <c r="K23" s="25"/>
    </row>
    <row r="24" spans="1:11" ht="40.950000000000003" customHeight="1">
      <c r="A24" s="25"/>
      <c r="B24" s="25"/>
      <c r="C24" s="25"/>
      <c r="D24" s="25"/>
      <c r="E24" s="25"/>
      <c r="F24" s="199"/>
      <c r="G24" s="199"/>
      <c r="H24" s="199"/>
      <c r="I24" s="199"/>
      <c r="J24" s="25"/>
      <c r="K24" s="25"/>
    </row>
    <row r="25" spans="1:11" ht="40.950000000000003" hidden="1" customHeight="1">
      <c r="A25" s="25"/>
      <c r="B25" s="25"/>
      <c r="C25" s="25"/>
      <c r="D25" s="25"/>
      <c r="E25" s="25"/>
      <c r="F25" s="199"/>
      <c r="G25" s="199"/>
      <c r="H25" s="199"/>
      <c r="I25" s="199"/>
      <c r="J25" s="25"/>
      <c r="K25" s="25"/>
    </row>
    <row r="26" spans="1:11" ht="40.950000000000003" hidden="1" customHeight="1">
      <c r="A26" s="25"/>
      <c r="B26" s="25"/>
      <c r="C26" s="25"/>
      <c r="D26" s="25"/>
      <c r="E26" s="25"/>
      <c r="F26" s="199"/>
      <c r="G26" s="199"/>
      <c r="H26" s="199"/>
      <c r="I26" s="199"/>
      <c r="J26" s="25"/>
      <c r="K26" s="25"/>
    </row>
    <row r="27" spans="1:11" ht="40.950000000000003" hidden="1" customHeight="1">
      <c r="A27" s="25"/>
      <c r="B27" s="25"/>
      <c r="C27" s="25"/>
      <c r="D27" s="25"/>
      <c r="E27" s="25"/>
      <c r="F27" s="199"/>
      <c r="G27" s="199"/>
      <c r="H27" s="199"/>
      <c r="I27" s="199"/>
      <c r="J27" s="25"/>
      <c r="K27" s="25"/>
    </row>
    <row r="28" spans="1:11" ht="36.6" hidden="1" customHeight="1">
      <c r="A28" s="25"/>
      <c r="B28" s="25"/>
      <c r="C28" s="25"/>
      <c r="D28" s="25"/>
      <c r="E28" s="25"/>
      <c r="F28" s="25"/>
      <c r="G28" s="25"/>
      <c r="H28" s="25"/>
      <c r="I28" s="25"/>
      <c r="J28" s="25"/>
      <c r="K28" s="25"/>
    </row>
    <row r="29" spans="1:11" ht="14.55" hidden="1" customHeight="1">
      <c r="A29" s="25"/>
      <c r="B29" s="25"/>
      <c r="C29" s="25"/>
      <c r="D29" s="25"/>
      <c r="E29" s="25"/>
      <c r="F29" s="25"/>
      <c r="G29" s="25"/>
      <c r="H29" s="25"/>
      <c r="I29" s="25"/>
      <c r="J29" s="25"/>
      <c r="K29" s="25"/>
    </row>
    <row r="30" spans="1:11" ht="14.55" hidden="1" customHeight="1">
      <c r="A30" s="25"/>
      <c r="B30" s="25"/>
      <c r="C30" s="25"/>
      <c r="D30" s="25"/>
      <c r="E30" s="25"/>
      <c r="F30" s="25"/>
      <c r="G30" s="25"/>
      <c r="H30" s="25"/>
      <c r="I30" s="25"/>
      <c r="J30" s="25"/>
      <c r="K30" s="25"/>
    </row>
    <row r="31" spans="1:11" ht="14.55" hidden="1" customHeight="1">
      <c r="A31" s="25"/>
      <c r="B31" s="25"/>
      <c r="C31" s="25"/>
      <c r="D31" s="25"/>
      <c r="E31" s="25"/>
      <c r="F31" s="25"/>
      <c r="G31" s="25"/>
      <c r="H31" s="25"/>
      <c r="I31" s="25"/>
      <c r="J31" s="25"/>
      <c r="K31" s="25"/>
    </row>
    <row r="32" spans="1:11" ht="14.5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4.4" hidden="1">
      <c r="A34" s="25"/>
      <c r="B34" s="25"/>
      <c r="C34" s="25"/>
      <c r="D34" s="25"/>
      <c r="E34" s="25"/>
      <c r="F34" s="25"/>
      <c r="G34" s="25"/>
      <c r="H34" s="25"/>
      <c r="I34" s="25"/>
      <c r="J34" s="25"/>
      <c r="K34" s="25"/>
    </row>
    <row r="35" spans="1:11" ht="14.4" hidden="1">
      <c r="A35" s="25"/>
      <c r="B35" s="25"/>
      <c r="C35" s="25"/>
      <c r="D35" s="25"/>
      <c r="E35" s="25"/>
      <c r="F35" s="25"/>
      <c r="G35" s="25"/>
      <c r="H35" s="25"/>
      <c r="I35" s="25"/>
      <c r="J35" s="25"/>
      <c r="K35" s="25"/>
    </row>
    <row r="36" spans="1:11" ht="14.4" hidden="1">
      <c r="A36" s="25"/>
      <c r="B36" s="25"/>
      <c r="C36" s="25"/>
      <c r="D36" s="25"/>
      <c r="E36" s="25"/>
      <c r="F36" s="25"/>
      <c r="G36" s="25"/>
      <c r="H36" s="25"/>
      <c r="I36" s="25"/>
      <c r="J36" s="25"/>
      <c r="K36" s="25"/>
    </row>
    <row r="37" spans="1:11" ht="14.4" hidden="1">
      <c r="A37" s="25"/>
      <c r="B37" s="25"/>
      <c r="C37" s="25"/>
      <c r="D37" s="25"/>
      <c r="E37" s="25"/>
      <c r="F37" s="25"/>
      <c r="G37" s="25"/>
      <c r="H37" s="25"/>
      <c r="I37" s="25"/>
      <c r="J37" s="25"/>
      <c r="K37" s="25"/>
    </row>
    <row r="38" spans="1:11" ht="14.4" hidden="1"/>
    <row r="39" spans="1:11" ht="14.4" hidden="1"/>
  </sheetData>
  <sheetProtection algorithmName="SHA-512" hashValue="R5rLHx9ZorY/Nrf5jnXd5Oum/mRxZZ/5TArImXZDxEd524Uh/pfOSnqEqWgFTq4mSwVyXnM+56SGMrWpCGnADQ==" saltValue="UytS3xmmERYa1et+zX2kdA=="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2" priority="9" operator="greaterThan">
      <formula>10</formula>
    </cfRule>
    <cfRule type="cellIs" dxfId="411" priority="11" operator="lessThan">
      <formula>10</formula>
    </cfRule>
  </conditionalFormatting>
  <conditionalFormatting sqref="F24:I27 E17:I19">
    <cfRule type="containsText" dxfId="410" priority="2" operator="containsText" text="LPA">
      <formula>NOT(ISERROR(SEARCH("LPA",E17)))</formula>
    </cfRule>
    <cfRule type="containsText" dxfId="409" priority="5" operator="containsText" text="Caution - % changed from default">
      <formula>NOT(ISERROR(SEARCH("Caution - % changed from default",E17)))</formula>
    </cfRule>
  </conditionalFormatting>
  <conditionalFormatting sqref="D17:D19">
    <cfRule type="cellIs" dxfId="408" priority="3" operator="lessThan">
      <formula>0</formula>
    </cfRule>
  </conditionalFormatting>
  <conditionalFormatting sqref="E13:I15">
    <cfRule type="expression" dxfId="407" priority="184">
      <formula>$D13&gt;10</formula>
    </cfRule>
    <cfRule type="expression" dxfId="406" priority="185">
      <formula>$D13&lt;10</formula>
    </cfRule>
  </conditionalFormatting>
  <dataValidations count="3">
    <dataValidation type="date" operator="lessThanOrEqual" allowBlank="1" showErrorMessage="1" errorTitle="Error" error="Future dates cannot be added" sqref="D9 D23">
      <formula1>TODAY()</formula1>
    </dataValidation>
    <dataValidation errorStyle="warning" allowBlank="1" showErrorMessage="1" errorTitle="Caution" error="Please chek full list before entering non standrad LPA." sqref="D3"/>
    <dataValidation type="whole" allowBlank="1" showInputMessage="1" showErrorMessage="1" sqref="D13:D19">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14:formula1>
            <xm:f>'11. Lists'!$X$36:$X$50</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249977111117893"/>
    <pageSetUpPr fitToPage="1"/>
  </sheetPr>
  <dimension ref="A1:R51"/>
  <sheetViews>
    <sheetView zoomScale="80" zoomScaleNormal="80" workbookViewId="0">
      <selection activeCell="C17" sqref="C17"/>
    </sheetView>
  </sheetViews>
  <sheetFormatPr defaultColWidth="0" defaultRowHeight="14.4" zeroHeight="1"/>
  <cols>
    <col min="1" max="1" width="4.5546875" customWidth="1"/>
    <col min="2" max="2" width="63.21875" customWidth="1"/>
    <col min="3" max="3" width="48.77734375" bestFit="1" customWidth="1"/>
    <col min="4" max="4" width="46.77734375" customWidth="1"/>
    <col min="5" max="8" width="8.77734375" customWidth="1"/>
    <col min="9" max="13" width="8.77734375" hidden="1" customWidth="1"/>
    <col min="14" max="18" width="0" hidden="1" customWidth="1"/>
    <col min="19" max="16384" width="8.77734375" hidden="1"/>
  </cols>
  <sheetData>
    <row r="1" spans="1:14" ht="15" thickBot="1">
      <c r="A1" s="25"/>
      <c r="B1" s="25"/>
      <c r="C1" s="25"/>
      <c r="D1" s="25"/>
      <c r="E1" s="25"/>
      <c r="F1" s="25"/>
      <c r="G1" s="25"/>
      <c r="H1" s="25"/>
      <c r="I1" s="25"/>
      <c r="J1" s="25"/>
      <c r="K1" s="25"/>
      <c r="L1" s="25"/>
      <c r="M1" s="25"/>
      <c r="N1" s="25"/>
    </row>
    <row r="2" spans="1:14" ht="24" customHeight="1">
      <c r="A2" s="53"/>
      <c r="B2" s="204" t="s">
        <v>39</v>
      </c>
      <c r="C2" s="630" t="str">
        <f>IF('2. Site Details'!D4="","Enter site name on 2. Site Details",'2. Site Details'!D4)</f>
        <v>Lantern Courtyard, The Barn, The Street, Bramley, RG26 5DE</v>
      </c>
      <c r="D2" s="631"/>
      <c r="E2" s="25"/>
      <c r="F2" s="25"/>
      <c r="G2" s="25"/>
      <c r="H2" s="25"/>
      <c r="I2" s="25"/>
      <c r="J2" s="25"/>
      <c r="K2" s="25"/>
      <c r="L2" s="25"/>
      <c r="M2" s="25"/>
      <c r="N2" s="25"/>
    </row>
    <row r="3" spans="1:14" ht="24" customHeight="1" thickBot="1">
      <c r="A3" s="53"/>
      <c r="B3" s="203" t="s">
        <v>16</v>
      </c>
      <c r="C3" s="628" t="s">
        <v>40</v>
      </c>
      <c r="D3" s="629"/>
      <c r="E3" s="25"/>
      <c r="F3" s="25"/>
      <c r="G3" s="25"/>
      <c r="H3" s="25"/>
      <c r="I3" s="25"/>
      <c r="J3" s="25"/>
      <c r="K3" s="25"/>
      <c r="L3" s="25"/>
      <c r="M3" s="25"/>
      <c r="N3" s="25"/>
    </row>
    <row r="4" spans="1:14" ht="14.55" customHeight="1">
      <c r="A4" s="53"/>
      <c r="B4" s="53"/>
      <c r="C4" s="53"/>
      <c r="D4" s="53"/>
      <c r="E4" s="25"/>
      <c r="F4" s="25"/>
      <c r="G4" s="25"/>
      <c r="H4" s="25"/>
      <c r="I4" s="25"/>
      <c r="J4" s="25"/>
      <c r="K4" s="25"/>
      <c r="L4" s="25"/>
      <c r="M4" s="25"/>
      <c r="N4" s="25"/>
    </row>
    <row r="5" spans="1:14" ht="36" customHeight="1" thickBot="1">
      <c r="A5" s="40"/>
      <c r="B5" s="56" t="s">
        <v>41</v>
      </c>
      <c r="C5" s="41"/>
      <c r="D5" s="41"/>
      <c r="E5" s="25"/>
      <c r="F5" s="25"/>
      <c r="G5" s="25"/>
      <c r="H5" s="25"/>
      <c r="I5" s="25"/>
      <c r="J5" s="25"/>
      <c r="K5" s="25"/>
      <c r="L5" s="25"/>
      <c r="M5" s="25"/>
      <c r="N5" s="25"/>
    </row>
    <row r="6" spans="1:14" ht="42" customHeight="1">
      <c r="A6" s="25"/>
      <c r="B6" s="37" t="s">
        <v>42</v>
      </c>
      <c r="C6" s="154"/>
      <c r="D6" s="206" t="str">
        <f>IF(AND(C6="Residential",C9="Unknown number"),"Site area must be less than 5,000 m2",IF(C6="","","Site area must be less than 10,000 m2"))</f>
        <v/>
      </c>
      <c r="E6" s="624" t="str">
        <f>IF(AND(C9="Unknown number", C6="Residential"),"Site area limited by unknown number of dwellings ⚠", "")</f>
        <v/>
      </c>
      <c r="F6" s="625"/>
      <c r="G6" s="625"/>
      <c r="H6" s="625"/>
      <c r="I6" s="25"/>
      <c r="J6" s="25"/>
      <c r="K6" s="25"/>
      <c r="L6" s="25"/>
      <c r="M6" s="25"/>
      <c r="N6" s="25"/>
    </row>
    <row r="7" spans="1:14" ht="42" customHeight="1">
      <c r="A7" s="25"/>
      <c r="B7" s="42" t="s">
        <v>43</v>
      </c>
      <c r="C7" s="155">
        <v>188</v>
      </c>
      <c r="D7" s="207"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404" t="str">
        <f>IF(OR(C6="Residential",C6="Other"),"N/A",IF(C6="","","16. Building footprint (m2) of commercial buildings proposed within the development site (or zero if none)"))</f>
        <v/>
      </c>
      <c r="C8" s="155"/>
      <c r="D8" s="208"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405" t="str">
        <f>IF(OR(C6="Commercial",C6="Other"),"N/A",IF(C6="","","17. Number of dwellings proposed within the development site"))</f>
        <v/>
      </c>
      <c r="C9" s="156"/>
      <c r="D9" s="209"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44</v>
      </c>
      <c r="C10" s="43"/>
      <c r="D10" s="44"/>
      <c r="E10" s="25"/>
      <c r="F10" s="25"/>
      <c r="G10" s="25"/>
      <c r="H10" s="25"/>
      <c r="I10" s="25"/>
      <c r="J10" s="25"/>
      <c r="K10" s="25"/>
      <c r="L10" s="25"/>
      <c r="M10" s="25"/>
      <c r="N10" s="25"/>
    </row>
    <row r="11" spans="1:14" ht="42" customHeight="1">
      <c r="A11" s="25"/>
      <c r="B11" s="37" t="s">
        <v>45</v>
      </c>
      <c r="C11" s="154" t="s">
        <v>1041</v>
      </c>
      <c r="D11" s="378"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46</v>
      </c>
      <c r="C12" s="155" t="s">
        <v>1041</v>
      </c>
      <c r="D12" s="415" t="str">
        <f>IF(C12="On site","ERROR- Site too complex for metric - USE MAIN METRIC ▲",IF(C12="Within 500m of site boundary","Consider using main metric tool ⚠",""))</f>
        <v/>
      </c>
      <c r="E12" s="25"/>
      <c r="F12" s="25"/>
      <c r="G12" s="25"/>
      <c r="H12" s="25"/>
      <c r="I12" s="25"/>
      <c r="J12" s="25"/>
      <c r="K12" s="25"/>
      <c r="L12" s="25"/>
      <c r="M12" s="25"/>
      <c r="N12" s="25"/>
    </row>
    <row r="13" spans="1:14" ht="79.2" customHeight="1">
      <c r="A13" s="25"/>
      <c r="B13" s="42" t="s">
        <v>47</v>
      </c>
      <c r="C13" s="632"/>
      <c r="D13" s="633"/>
      <c r="E13" s="25"/>
      <c r="F13" s="25"/>
      <c r="G13" s="25"/>
      <c r="H13" s="25"/>
      <c r="I13" s="25"/>
      <c r="J13" s="25"/>
      <c r="K13" s="25"/>
      <c r="L13" s="25"/>
      <c r="M13" s="25"/>
      <c r="N13" s="25"/>
    </row>
    <row r="14" spans="1:14" ht="79.2" customHeight="1" thickBot="1">
      <c r="A14" s="25"/>
      <c r="B14" s="36" t="s">
        <v>48</v>
      </c>
      <c r="C14" s="634"/>
      <c r="D14" s="635"/>
      <c r="E14" s="25"/>
      <c r="F14" s="25"/>
      <c r="G14" s="25"/>
      <c r="H14" s="25"/>
      <c r="I14" s="25"/>
      <c r="J14" s="25"/>
      <c r="K14" s="25"/>
      <c r="L14" s="25"/>
      <c r="M14" s="25"/>
      <c r="N14" s="25"/>
    </row>
    <row r="15" spans="1:14" ht="36" customHeight="1" thickBot="1">
      <c r="A15" s="25"/>
      <c r="B15" s="56" t="s">
        <v>49</v>
      </c>
      <c r="C15" s="25"/>
      <c r="D15" s="25"/>
      <c r="E15" s="25"/>
      <c r="F15" s="25"/>
      <c r="G15" s="25"/>
      <c r="H15" s="25"/>
      <c r="I15" s="25"/>
      <c r="J15" s="25"/>
      <c r="K15" s="25"/>
      <c r="L15" s="25"/>
      <c r="M15" s="25"/>
      <c r="N15" s="25"/>
    </row>
    <row r="16" spans="1:14" ht="42" customHeight="1">
      <c r="A16" s="25"/>
      <c r="B16" s="37" t="s">
        <v>50</v>
      </c>
      <c r="C16" s="154" t="s">
        <v>1042</v>
      </c>
      <c r="D16" s="45" t="str">
        <f>IF(C16="Walkover completed by competent person","A competent person should be able to confidently identify the habitats onsite",IF(C16="No Walkover Undertaken","ERROR- Site walkover required",""))</f>
        <v>A competent person should be able to confidently identify the habitats onsite</v>
      </c>
      <c r="E16" s="25"/>
      <c r="F16" s="25"/>
      <c r="G16" s="25"/>
      <c r="H16" s="25"/>
      <c r="I16" s="25"/>
      <c r="J16" s="25"/>
      <c r="K16" s="25"/>
      <c r="L16" s="25"/>
      <c r="M16" s="25"/>
      <c r="N16" s="25"/>
    </row>
    <row r="17" spans="1:14" ht="42" customHeight="1">
      <c r="A17" s="25"/>
      <c r="B17" s="42" t="s">
        <v>51</v>
      </c>
      <c r="C17" s="165">
        <v>45329</v>
      </c>
      <c r="D17" s="166" t="str">
        <f>IF(C17="","Walkover date required ▲","Site walkover data valid until "&amp;TEXT(EDATE(C17,6),"dd/mm/yy"))</f>
        <v>Site walkover data valid until 00/mm/24</v>
      </c>
      <c r="E17" s="25"/>
      <c r="F17" s="25"/>
      <c r="G17" s="25"/>
      <c r="H17" s="25"/>
      <c r="I17" s="25"/>
      <c r="J17" s="25"/>
      <c r="K17" s="25"/>
      <c r="L17" s="25"/>
      <c r="M17" s="25"/>
      <c r="N17" s="25"/>
    </row>
    <row r="18" spans="1:14" ht="42" customHeight="1" thickBot="1">
      <c r="A18" s="25"/>
      <c r="B18" s="36" t="s">
        <v>52</v>
      </c>
      <c r="C18" s="634" t="s">
        <v>1043</v>
      </c>
      <c r="D18" s="635"/>
      <c r="E18" s="25"/>
      <c r="F18" s="25"/>
      <c r="G18" s="25"/>
      <c r="H18" s="25"/>
      <c r="I18" s="25"/>
      <c r="J18" s="25"/>
      <c r="K18" s="25"/>
      <c r="L18" s="25"/>
      <c r="M18" s="25"/>
      <c r="N18" s="25"/>
    </row>
    <row r="19" spans="1:14" ht="36" customHeight="1" thickBot="1">
      <c r="A19" s="25"/>
      <c r="B19" s="56" t="s">
        <v>53</v>
      </c>
      <c r="C19" s="25"/>
      <c r="D19" s="25"/>
      <c r="E19" s="25"/>
      <c r="F19" s="25"/>
      <c r="G19" s="25"/>
      <c r="H19" s="25"/>
      <c r="I19" s="25"/>
      <c r="J19" s="25"/>
      <c r="K19" s="25"/>
      <c r="L19" s="25"/>
      <c r="M19" s="25"/>
      <c r="N19" s="25"/>
    </row>
    <row r="20" spans="1:14" ht="79.2" customHeight="1" thickBot="1">
      <c r="A20" s="25"/>
      <c r="B20" s="164" t="s">
        <v>54</v>
      </c>
      <c r="C20" s="626"/>
      <c r="D20" s="627"/>
      <c r="E20" s="25"/>
      <c r="F20" s="25"/>
      <c r="G20" s="25"/>
      <c r="H20" s="25"/>
      <c r="I20" s="25"/>
      <c r="J20" s="25"/>
      <c r="K20" s="25"/>
      <c r="L20" s="25"/>
      <c r="M20" s="25"/>
      <c r="N20" s="25"/>
    </row>
    <row r="21" spans="1:14" ht="14.55" customHeight="1">
      <c r="A21" s="25"/>
      <c r="B21" s="25"/>
      <c r="C21" s="25"/>
      <c r="D21" s="25"/>
      <c r="E21" s="25"/>
      <c r="F21" s="25"/>
      <c r="G21" s="25"/>
      <c r="H21" s="25"/>
      <c r="I21" s="25"/>
      <c r="J21" s="25"/>
      <c r="K21" s="25"/>
      <c r="L21" s="25"/>
      <c r="M21" s="25"/>
      <c r="N21" s="25"/>
    </row>
    <row r="22" spans="1:14" ht="14.55" customHeight="1">
      <c r="A22" s="25"/>
      <c r="B22" s="25"/>
      <c r="C22" s="25"/>
      <c r="D22" s="25"/>
      <c r="E22" s="25"/>
      <c r="F22" s="25"/>
      <c r="G22" s="25"/>
      <c r="H22" s="25"/>
      <c r="I22" s="25"/>
      <c r="J22" s="25"/>
      <c r="K22" s="25"/>
      <c r="L22" s="25"/>
      <c r="M22" s="25"/>
      <c r="N22" s="25"/>
    </row>
    <row r="23" spans="1:14" ht="14.55" customHeight="1">
      <c r="A23" s="25"/>
      <c r="B23" s="25"/>
      <c r="C23" s="25"/>
      <c r="D23" s="25"/>
      <c r="E23" s="25"/>
      <c r="F23" s="25"/>
      <c r="G23" s="25"/>
      <c r="H23" s="25"/>
      <c r="I23" s="25"/>
      <c r="J23" s="25"/>
      <c r="K23" s="25"/>
      <c r="L23" s="25"/>
      <c r="M23" s="25"/>
      <c r="N23" s="25"/>
    </row>
    <row r="24" spans="1:14" ht="14.55" customHeight="1">
      <c r="A24" s="25"/>
      <c r="B24" s="25"/>
      <c r="C24" s="25"/>
      <c r="D24" s="25"/>
      <c r="E24" s="25"/>
      <c r="F24" s="25"/>
      <c r="G24" s="25"/>
      <c r="H24" s="25"/>
      <c r="I24" s="25"/>
      <c r="J24" s="25"/>
      <c r="K24" s="25"/>
      <c r="L24" s="25"/>
      <c r="M24" s="25"/>
      <c r="N24" s="25"/>
    </row>
    <row r="25" spans="1:14" ht="14.5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row r="49" hidden="1"/>
    <row r="50" hidden="1"/>
    <row r="51" hidden="1"/>
  </sheetData>
  <sheetProtection algorithmName="SHA-512" hashValue="C7z4ytCKweFMgndit5Ew9jK/5sUoKMK856bu3va1ydQ28LJOXzFgc0fmb9Bm+zfs+RBDOgnH3J+YKJzufoSvxw==" saltValue="PfqgEqhXd6ECUS42onoFWw==" spinCount="100000" sheet="1" objects="1" scenarios="1"/>
  <mergeCells count="7">
    <mergeCell ref="E6:H6"/>
    <mergeCell ref="C20:D20"/>
    <mergeCell ref="C3:D3"/>
    <mergeCell ref="C2:D2"/>
    <mergeCell ref="C13:D13"/>
    <mergeCell ref="C14:D14"/>
    <mergeCell ref="C18:D18"/>
  </mergeCells>
  <conditionalFormatting sqref="C11">
    <cfRule type="expression" dxfId="405" priority="53">
      <formula>C11="Within 500m of site boundary"</formula>
    </cfRule>
    <cfRule type="expression" dxfId="404" priority="62">
      <formula>C11="On site"</formula>
    </cfRule>
    <cfRule type="expression" dxfId="403" priority="63">
      <formula>C11="No"</formula>
    </cfRule>
  </conditionalFormatting>
  <conditionalFormatting sqref="D11:D12">
    <cfRule type="expression" dxfId="402" priority="51">
      <formula>C11="On site"</formula>
    </cfRule>
  </conditionalFormatting>
  <conditionalFormatting sqref="D16">
    <cfRule type="expression" dxfId="401" priority="28">
      <formula>$C$16="Walkover completed by competent person"</formula>
    </cfRule>
    <cfRule type="expression" dxfId="400" priority="49">
      <formula>C16="No walkover undertaken"</formula>
    </cfRule>
  </conditionalFormatting>
  <conditionalFormatting sqref="C16:C17">
    <cfRule type="expression" dxfId="399" priority="40">
      <formula>C16="Walkover completed by competent person"</formula>
    </cfRule>
    <cfRule type="expression" dxfId="398" priority="41">
      <formula>C16="No walkover undertaken"</formula>
    </cfRule>
    <cfRule type="expression" dxfId="397" priority="42">
      <formula>C16="Walkover completed by qualified ecologist"</formula>
    </cfRule>
  </conditionalFormatting>
  <conditionalFormatting sqref="C12">
    <cfRule type="expression" dxfId="396" priority="31">
      <formula>C12="Within 500m of site boundary"</formula>
    </cfRule>
    <cfRule type="expression" dxfId="395" priority="32">
      <formula>C12="On site"</formula>
    </cfRule>
    <cfRule type="expression" dxfId="394" priority="33">
      <formula>C12="No"</formula>
    </cfRule>
  </conditionalFormatting>
  <conditionalFormatting sqref="D17">
    <cfRule type="containsText" dxfId="393" priority="27" operator="containsText" text="Walkover date required">
      <formula>NOT(ISERROR(SEARCH("Walkover date required",D17)))</formula>
    </cfRule>
  </conditionalFormatting>
  <conditionalFormatting sqref="C8">
    <cfRule type="expression" dxfId="392" priority="13" stopIfTrue="1">
      <formula>IF(LEFT(D8,1)="E","TRUE","")</formula>
    </cfRule>
    <cfRule type="expression" dxfId="391" priority="14">
      <formula>AND(C8&gt;0,C8&lt;=C7,C8&lt;1001)</formula>
    </cfRule>
  </conditionalFormatting>
  <conditionalFormatting sqref="C6">
    <cfRule type="expression" dxfId="390" priority="12">
      <formula>IF(C6&lt;&gt;"",TRUE,"")</formula>
    </cfRule>
  </conditionalFormatting>
  <conditionalFormatting sqref="D7">
    <cfRule type="expression" dxfId="389" priority="11">
      <formula>IF(LEFT(D7,1)="E","TRUE","")</formula>
    </cfRule>
  </conditionalFormatting>
  <conditionalFormatting sqref="D8">
    <cfRule type="containsText" dxfId="388" priority="10" operator="containsText" text="ERROR">
      <formula>NOT(ISERROR(SEARCH("ERROR",D8)))</formula>
    </cfRule>
  </conditionalFormatting>
  <conditionalFormatting sqref="C7">
    <cfRule type="expression" dxfId="387" priority="15">
      <formula>IF(AND(LEFT(D7,1)="E",C7&lt;&gt;""),TRUE,"")</formula>
    </cfRule>
    <cfRule type="expression" dxfId="386" priority="16" stopIfTrue="1">
      <formula>IF(AND(LEFT(D7,1)&lt;&gt;"E",C7&lt;&gt;""),TRUE,"")</formula>
    </cfRule>
  </conditionalFormatting>
  <conditionalFormatting sqref="C9">
    <cfRule type="containsText" dxfId="385" priority="2" operator="containsText" text="Unknown">
      <formula>NOT(ISERROR(SEARCH("Unknown",C9)))</formula>
    </cfRule>
    <cfRule type="expression" dxfId="384" priority="8" stopIfTrue="1">
      <formula>IF(LEFT(D9,1)="E","TRUE","")</formula>
    </cfRule>
    <cfRule type="expression" dxfId="383" priority="9">
      <formula>AND(C9&gt;0,LEFT(D10,1)&lt;&gt;"E")</formula>
    </cfRule>
  </conditionalFormatting>
  <conditionalFormatting sqref="D9">
    <cfRule type="containsText" dxfId="382" priority="7" operator="containsText" text="ERROR">
      <formula>NOT(ISERROR(SEARCH("ERROR",D9)))</formula>
    </cfRule>
  </conditionalFormatting>
  <conditionalFormatting sqref="D11">
    <cfRule type="containsText" dxfId="381" priority="4" operator="containsText" text="Consider">
      <formula>NOT(ISERROR(SEARCH("Consider",D11)))</formula>
    </cfRule>
  </conditionalFormatting>
  <conditionalFormatting sqref="D12">
    <cfRule type="containsText" dxfId="380" priority="3" operator="containsText" text="Consider">
      <formula>NOT(ISERROR(SEARCH("Consider",D12)))</formula>
    </cfRule>
  </conditionalFormatting>
  <conditionalFormatting sqref="E6:H6">
    <cfRule type="notContainsBlanks" dxfId="379" priority="1">
      <formula>LEN(TRIM(E6))&gt;0</formula>
    </cfRule>
  </conditionalFormatting>
  <dataValidations count="5">
    <dataValidation type="list" allowBlank="1" showInputMessage="1" showErrorMessage="1" sqref="C6">
      <formula1>"Residential,Commercial,Mixed,Other"</formula1>
    </dataValidation>
    <dataValidation type="list" allowBlank="1" showInputMessage="1" showErrorMessage="1" sqref="C11:C12">
      <formula1>"On site,Within 500m of site boundary,No"</formula1>
    </dataValidation>
    <dataValidation type="list" allowBlank="1" showInputMessage="1" showErrorMessage="1" sqref="C16">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17">
      <formula1>TODAY()</formula1>
    </dataValidation>
    <dataValidation type="list" allowBlank="1" showInputMessage="1" showErrorMessage="1" sqref="C9">
      <formula1>"Unknown number, Between 1 - 9 dwellings, Over 9 dwellings"</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pageSetUpPr fitToPage="1"/>
  </sheetPr>
  <dimension ref="A1:XFB158"/>
  <sheetViews>
    <sheetView showGridLines="0" zoomScale="80" zoomScaleNormal="80" workbookViewId="0">
      <pane xSplit="2" ySplit="7" topLeftCell="C8" activePane="bottomRight" state="frozen"/>
      <selection pane="topRight" activeCell="C1" sqref="C1"/>
      <selection pane="bottomLeft" activeCell="A8" sqref="A8"/>
      <selection pane="bottomRight" activeCell="C9" sqref="C9"/>
    </sheetView>
  </sheetViews>
  <sheetFormatPr defaultColWidth="8.77734375" defaultRowHeight="14.4" zeroHeight="1"/>
  <cols>
    <col min="1" max="1" width="3.44140625" customWidth="1"/>
    <col min="2" max="2" width="16.44140625" bestFit="1" customWidth="1"/>
    <col min="3" max="3" width="32.21875" bestFit="1" customWidth="1"/>
    <col min="4" max="5" width="89.77734375" customWidth="1"/>
    <col min="6" max="7" width="8.77734375" customWidth="1"/>
    <col min="8" max="16382" width="8.77734375" hidden="1" customWidth="1"/>
    <col min="16383" max="16383" width="8.77734375" style="25" customWidth="1"/>
    <col min="16384" max="16384" width="8.77734375" style="25"/>
  </cols>
  <sheetData>
    <row r="1" spans="1:34" ht="1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0" t="s">
        <v>39</v>
      </c>
      <c r="C2" s="641"/>
      <c r="D2" s="265" t="str">
        <f>IF('2. Site Details'!D4="","Enter site name on 2. Site Details",'2. Site Details'!D4)</f>
        <v>Lantern Courtyard, The Barn, The Street, Bramley, RG26 5DE</v>
      </c>
      <c r="E2" s="643" t="str">
        <f>IF(OR('3. Desktop Assessment'!C16="Walkover completed by competent person",'3. Desktop Assessment'!C16="No walkover undertaken"),IF(COUNTA(D8:E8,D10:E10,D14:E14,D16:E16,D18:E18,D22:E22,D26:E26,D30:E30,D34:E34,D38:E38,D42:E42,D46:E46,D12:E12,D20:E20,D24:E24,D28:E28,D32:E32,D36:E36,D40:E40,D44:E44)=0,"Error - Site photographs required to support application",""),"")</f>
        <v>Error - Site photographs required to support application</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36" t="s">
        <v>16</v>
      </c>
      <c r="C3" s="637"/>
      <c r="D3" s="266" t="s">
        <v>55</v>
      </c>
      <c r="E3" s="643"/>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2" customHeight="1">
      <c r="A5" s="25"/>
      <c r="B5" s="57" t="s">
        <v>56</v>
      </c>
      <c r="C5" s="59"/>
      <c r="D5" s="642" t="s">
        <v>57</v>
      </c>
      <c r="E5" s="642"/>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91" t="s">
        <v>58</v>
      </c>
      <c r="C7" s="192" t="s">
        <v>59</v>
      </c>
      <c r="D7" s="192" t="s">
        <v>60</v>
      </c>
      <c r="E7" s="193" t="s">
        <v>61</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38">
        <v>1</v>
      </c>
      <c r="C8" s="172" t="s">
        <v>62</v>
      </c>
      <c r="D8" s="406"/>
      <c r="E8" s="407"/>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39"/>
      <c r="C9" s="190" t="str">
        <f>IF('5. Area Habitats'!D11=0,"",'5. Area Habitats'!D11)</f>
        <v>Developed land; sealed surface</v>
      </c>
      <c r="D9" s="195"/>
      <c r="E9" s="196"/>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38">
        <v>2</v>
      </c>
      <c r="C10" s="172" t="s">
        <v>62</v>
      </c>
      <c r="D10" s="406"/>
      <c r="E10" s="407"/>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39"/>
      <c r="C11" s="190" t="str">
        <f>IF('5. Area Habitats'!D12=0,"",'5. Area Habitats'!D12)</f>
        <v/>
      </c>
      <c r="D11" s="195"/>
      <c r="E11" s="196"/>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38">
        <v>3</v>
      </c>
      <c r="C12" s="172" t="s">
        <v>62</v>
      </c>
      <c r="D12" s="406"/>
      <c r="E12" s="407"/>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39"/>
      <c r="C13" s="190" t="str">
        <f>IF('5. Area Habitats'!D13=0,"",'5. Area Habitats'!D13)</f>
        <v/>
      </c>
      <c r="D13" s="195"/>
      <c r="E13" s="196"/>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44">
        <v>4</v>
      </c>
      <c r="C14" s="172" t="s">
        <v>62</v>
      </c>
      <c r="D14" s="408"/>
      <c r="E14" s="409"/>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45"/>
      <c r="C15" s="194" t="str">
        <f>IF('5. Area Habitats'!D14=0,"",'5. Area Habitats'!D14)</f>
        <v/>
      </c>
      <c r="D15" s="197"/>
      <c r="E15" s="198"/>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38">
        <v>5</v>
      </c>
      <c r="C16" s="172" t="s">
        <v>62</v>
      </c>
      <c r="D16" s="406"/>
      <c r="E16" s="407"/>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39"/>
      <c r="C17" s="190" t="str">
        <f>IF('5. Area Habitats'!D15=0,"",'5. Area Habitats'!D15)</f>
        <v/>
      </c>
      <c r="D17" s="195"/>
      <c r="E17" s="196"/>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38">
        <v>6</v>
      </c>
      <c r="C18" s="172" t="s">
        <v>62</v>
      </c>
      <c r="D18" s="406"/>
      <c r="E18" s="407"/>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39"/>
      <c r="C19" s="190" t="str">
        <f>IF('5. Area Habitats'!D16=0,"",'5. Area Habitats'!D16)</f>
        <v/>
      </c>
      <c r="D19" s="195"/>
      <c r="E19" s="196"/>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38">
        <v>7</v>
      </c>
      <c r="C20" s="172" t="s">
        <v>62</v>
      </c>
      <c r="D20" s="406"/>
      <c r="E20" s="407"/>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39"/>
      <c r="C21" s="190" t="str">
        <f>IF('5. Area Habitats'!D17=0,"",'5. Area Habitats'!D17)</f>
        <v/>
      </c>
      <c r="D21" s="195"/>
      <c r="E21" s="196"/>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38">
        <v>8</v>
      </c>
      <c r="C22" s="172" t="s">
        <v>62</v>
      </c>
      <c r="D22" s="406"/>
      <c r="E22" s="407"/>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39"/>
      <c r="C23" s="190" t="str">
        <f>IF('5. Area Habitats'!D18=0,"",'5. Area Habitats'!D18)</f>
        <v/>
      </c>
      <c r="D23" s="195"/>
      <c r="E23" s="196"/>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38">
        <v>9</v>
      </c>
      <c r="C24" s="172" t="s">
        <v>62</v>
      </c>
      <c r="D24" s="406"/>
      <c r="E24" s="407"/>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39"/>
      <c r="C25" s="190" t="str">
        <f>IF('5. Area Habitats'!D19=0,"",'5. Area Habitats'!D19)</f>
        <v/>
      </c>
      <c r="D25" s="195"/>
      <c r="E25" s="196"/>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38">
        <v>10</v>
      </c>
      <c r="C26" s="172" t="s">
        <v>62</v>
      </c>
      <c r="D26" s="406"/>
      <c r="E26" s="407"/>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39"/>
      <c r="C27" s="190" t="str">
        <f>IF('5. Area Habitats'!D20=0,"",'5. Area Habitats'!D20)</f>
        <v/>
      </c>
      <c r="D27" s="195"/>
      <c r="E27" s="196"/>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38">
        <v>11</v>
      </c>
      <c r="C28" s="172" t="s">
        <v>62</v>
      </c>
      <c r="D28" s="406"/>
      <c r="E28" s="407"/>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39"/>
      <c r="C29" s="190" t="str">
        <f>IF('5. Area Habitats'!D21=0,"",'5. Area Habitats'!D21)</f>
        <v/>
      </c>
      <c r="D29" s="195"/>
      <c r="E29" s="196"/>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38">
        <v>12</v>
      </c>
      <c r="C30" s="172" t="s">
        <v>62</v>
      </c>
      <c r="D30" s="406"/>
      <c r="E30" s="407"/>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39"/>
      <c r="C31" s="190" t="str">
        <f>IF('5. Area Habitats'!D22=0,"",'5. Area Habitats'!D22)</f>
        <v/>
      </c>
      <c r="D31" s="195"/>
      <c r="E31" s="196"/>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38">
        <v>13</v>
      </c>
      <c r="C32" s="172" t="s">
        <v>62</v>
      </c>
      <c r="D32" s="406"/>
      <c r="E32" s="407"/>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39"/>
      <c r="C33" s="190" t="str">
        <f>IF('5. Area Habitats'!D23=0,"",'5. Area Habitats'!D23)</f>
        <v/>
      </c>
      <c r="D33" s="195"/>
      <c r="E33" s="196"/>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38">
        <v>14</v>
      </c>
      <c r="C34" s="172" t="s">
        <v>62</v>
      </c>
      <c r="D34" s="406"/>
      <c r="E34" s="407"/>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39"/>
      <c r="C35" s="190" t="str">
        <f>IF('5. Area Habitats'!D24=0,"",'5. Area Habitats'!D24)</f>
        <v/>
      </c>
      <c r="D35" s="195"/>
      <c r="E35" s="196"/>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38">
        <v>15</v>
      </c>
      <c r="C36" s="172" t="s">
        <v>62</v>
      </c>
      <c r="D36" s="406"/>
      <c r="E36" s="407"/>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39"/>
      <c r="C37" s="190" t="str">
        <f>IF('5. Area Habitats'!D25=0,"",'5. Area Habitats'!D25)</f>
        <v/>
      </c>
      <c r="D37" s="195"/>
      <c r="E37" s="196"/>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38">
        <v>16</v>
      </c>
      <c r="C38" s="172" t="s">
        <v>62</v>
      </c>
      <c r="D38" s="406"/>
      <c r="E38" s="407"/>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39"/>
      <c r="C39" s="190" t="str">
        <f>IF('5. Area Habitats'!D26=0,"",'5. Area Habitats'!D26)</f>
        <v/>
      </c>
      <c r="D39" s="195"/>
      <c r="E39" s="196"/>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38">
        <v>17</v>
      </c>
      <c r="C40" s="172" t="s">
        <v>62</v>
      </c>
      <c r="D40" s="406"/>
      <c r="E40" s="407"/>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39"/>
      <c r="C41" s="190" t="str">
        <f>IF('5. Area Habitats'!D27=0,"",'5. Area Habitats'!D27)</f>
        <v/>
      </c>
      <c r="D41" s="195"/>
      <c r="E41" s="196"/>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38">
        <v>18</v>
      </c>
      <c r="C42" s="172" t="s">
        <v>62</v>
      </c>
      <c r="D42" s="406"/>
      <c r="E42" s="407"/>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39"/>
      <c r="C43" s="190" t="str">
        <f>IF('5. Area Habitats'!D28=0,"",'5. Area Habitats'!D28)</f>
        <v/>
      </c>
      <c r="D43" s="195"/>
      <c r="E43" s="196"/>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38">
        <v>19</v>
      </c>
      <c r="C44" s="172" t="s">
        <v>62</v>
      </c>
      <c r="D44" s="406"/>
      <c r="E44" s="407"/>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39"/>
      <c r="C45" s="190" t="str">
        <f>IF('5. Area Habitats'!D29=0,"",'5. Area Habitats'!D29)</f>
        <v/>
      </c>
      <c r="D45" s="195"/>
      <c r="E45" s="196"/>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38">
        <v>20</v>
      </c>
      <c r="C46" s="172" t="s">
        <v>62</v>
      </c>
      <c r="D46" s="406"/>
      <c r="E46" s="407"/>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39"/>
      <c r="C47" s="190" t="str">
        <f>IF('5. Area Habitats'!D30=0,"",'5. Area Habitats'!D30)</f>
        <v/>
      </c>
      <c r="D47" s="195"/>
      <c r="E47" s="196"/>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6600"/>
    <pageSetUpPr fitToPage="1"/>
  </sheetPr>
  <dimension ref="A1:XEY169"/>
  <sheetViews>
    <sheetView topLeftCell="E1" zoomScale="70" zoomScaleNormal="70" workbookViewId="0">
      <selection activeCell="F21" sqref="F21:H21"/>
    </sheetView>
  </sheetViews>
  <sheetFormatPr defaultColWidth="8.77734375" defaultRowHeight="14.4" zeroHeight="1"/>
  <cols>
    <col min="1" max="1" width="4.5546875" customWidth="1"/>
    <col min="2" max="2" width="14.77734375" customWidth="1"/>
    <col min="3" max="3" width="26.44140625" bestFit="1" customWidth="1"/>
    <col min="4" max="4" width="62.77734375" customWidth="1"/>
    <col min="5" max="5" width="22" customWidth="1"/>
    <col min="6" max="6" width="18.5546875" customWidth="1"/>
    <col min="7" max="7" width="39.77734375" customWidth="1"/>
    <col min="8" max="8" width="62.44140625" customWidth="1"/>
    <col min="9" max="9" width="14.5546875" customWidth="1"/>
    <col min="10" max="10" width="12.77734375" customWidth="1"/>
    <col min="11" max="11" width="11.44140625" customWidth="1"/>
    <col min="12" max="12" width="17.77734375" customWidth="1"/>
    <col min="13" max="14" width="11.44140625" customWidth="1"/>
    <col min="15" max="16" width="27" customWidth="1"/>
    <col min="17" max="18" width="11.44140625" customWidth="1"/>
    <col min="19" max="19" width="2.21875" customWidth="1"/>
    <col min="20" max="20" width="13"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29" width="26.5546875" customWidth="1"/>
    <col min="30" max="30" width="50" customWidth="1"/>
    <col min="31" max="31" width="18.77734375" customWidth="1"/>
    <col min="32" max="32" width="23.77734375" customWidth="1"/>
    <col min="33" max="33" width="16.77734375" customWidth="1"/>
    <col min="34" max="34" width="35.77734375" customWidth="1"/>
    <col min="35" max="35" width="76.21875" customWidth="1"/>
    <col min="36" max="36" width="22.21875" customWidth="1"/>
    <col min="37" max="39" width="22.21875" hidden="1" customWidth="1"/>
    <col min="40" max="40" width="20.4414062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6.5546875" customWidth="1"/>
    <col min="52" max="52" width="14.21875" customWidth="1"/>
    <col min="53" max="53" width="26.5546875" customWidth="1"/>
    <col min="54" max="73" width="26.21875" customWidth="1"/>
    <col min="74" max="74" width="11.5546875" customWidth="1"/>
    <col min="75" max="77" width="8.77734375" customWidth="1"/>
    <col min="78" max="16379" width="8.77734375" hidden="1" customWidth="1"/>
    <col min="16380" max="16383" width="8.77734375" customWidth="1"/>
  </cols>
  <sheetData>
    <row r="1" spans="1:128" ht="15.75" customHeight="1" thickBot="1">
      <c r="A1" s="25"/>
      <c r="B1" s="25"/>
      <c r="C1" s="25"/>
      <c r="D1" s="25"/>
      <c r="E1" s="25"/>
      <c r="F1" s="25"/>
      <c r="G1" s="25"/>
      <c r="H1" s="25"/>
      <c r="I1" s="52"/>
      <c r="J1" s="52"/>
      <c r="K1" s="52"/>
      <c r="L1" s="52"/>
      <c r="M1" s="52"/>
      <c r="N1" s="52"/>
      <c r="O1" s="158" t="s">
        <v>63</v>
      </c>
      <c r="P1" s="281">
        <f>IFERROR(SUM(AE11:AE31), "Error ▲")</f>
        <v>0</v>
      </c>
      <c r="Q1" s="25"/>
      <c r="R1" s="733" t="s">
        <v>64</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95" customHeight="1">
      <c r="A2" s="25"/>
      <c r="B2" s="80" t="s">
        <v>65</v>
      </c>
      <c r="C2" s="696" t="str">
        <f>IF('2. Site Details'!D4="","Enter site name on 2. Site Details",'2. Site Details'!D4)</f>
        <v>Lantern Courtyard, The Barn, The Street, Bramley, RG26 5DE</v>
      </c>
      <c r="D2" s="697"/>
      <c r="E2" s="25"/>
      <c r="F2" s="762" t="s">
        <v>66</v>
      </c>
      <c r="G2" s="763"/>
      <c r="H2" s="764"/>
      <c r="I2" s="81"/>
      <c r="J2" s="776" t="str" cm="1">
        <f t="array" ref="J2">IFERROR(IF(OR((ISNUMBER(SEARCH("▲",A7:Q101)))),"Input Errors Present On Sheet - Red Cells Or ▲ Highlight Errors","All Key Rules Satisfied ✓ "),"Technical Errors On Sheet ▲")</f>
        <v xml:space="preserve">All Key Rules Satisfied ✓ </v>
      </c>
      <c r="K2" s="776"/>
      <c r="L2" s="776"/>
      <c r="M2" s="776"/>
      <c r="N2" s="81"/>
      <c r="O2" s="83" t="s">
        <v>67</v>
      </c>
      <c r="P2" s="281">
        <f>IFERROR(N32, "Error ▲")</f>
        <v>0</v>
      </c>
      <c r="Q2" s="25"/>
      <c r="R2" s="733"/>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95" customHeight="1" thickBot="1">
      <c r="A3" s="25"/>
      <c r="B3" s="82" t="s">
        <v>16</v>
      </c>
      <c r="C3" s="698" t="s">
        <v>68</v>
      </c>
      <c r="D3" s="699"/>
      <c r="E3" s="25"/>
      <c r="F3" s="765"/>
      <c r="G3" s="766"/>
      <c r="H3" s="767"/>
      <c r="I3" s="81"/>
      <c r="J3" s="776"/>
      <c r="K3" s="776"/>
      <c r="L3" s="776"/>
      <c r="M3" s="776"/>
      <c r="N3" s="81"/>
      <c r="O3" s="83" t="s">
        <v>69</v>
      </c>
      <c r="P3" s="281">
        <f>IFERROR(L61, "Error ▲")</f>
        <v>0</v>
      </c>
      <c r="Q3" s="25"/>
      <c r="R3" s="733"/>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95" customHeight="1">
      <c r="A4" s="25"/>
      <c r="B4" s="84"/>
      <c r="C4" s="84"/>
      <c r="D4" s="84"/>
      <c r="E4" s="25"/>
      <c r="F4" s="765"/>
      <c r="G4" s="766"/>
      <c r="H4" s="767"/>
      <c r="I4" s="81"/>
      <c r="J4" s="776"/>
      <c r="K4" s="776"/>
      <c r="L4" s="776"/>
      <c r="M4" s="776"/>
      <c r="N4" s="81"/>
      <c r="O4" s="83" t="s">
        <v>70</v>
      </c>
      <c r="P4" s="281">
        <f>IFERROR(L89, "Error ▲")</f>
        <v>0</v>
      </c>
      <c r="Q4" s="25"/>
      <c r="R4" s="733"/>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95" customHeight="1" thickBot="1">
      <c r="A5" s="85"/>
      <c r="B5" s="25"/>
      <c r="C5" s="25"/>
      <c r="D5" s="25"/>
      <c r="E5" s="25"/>
      <c r="F5" s="765"/>
      <c r="G5" s="766"/>
      <c r="H5" s="767"/>
      <c r="I5" s="81"/>
      <c r="J5" s="776"/>
      <c r="K5" s="776"/>
      <c r="L5" s="776"/>
      <c r="M5" s="776"/>
      <c r="N5" s="81"/>
      <c r="O5" s="86" t="s">
        <v>71</v>
      </c>
      <c r="P5" s="282">
        <f>IFERROR((P1+L61+L89)-L32, "Error ▲")</f>
        <v>0</v>
      </c>
      <c r="Q5" s="25"/>
      <c r="R5" s="733"/>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2" customHeight="1" thickBot="1">
      <c r="A6" s="85"/>
      <c r="B6" s="25"/>
      <c r="C6" s="25"/>
      <c r="D6" s="25"/>
      <c r="E6" s="25"/>
      <c r="F6" s="768"/>
      <c r="G6" s="769"/>
      <c r="H6" s="770"/>
      <c r="I6" s="52"/>
      <c r="J6" s="52"/>
      <c r="K6" s="52"/>
      <c r="L6" s="52"/>
      <c r="M6" s="52"/>
      <c r="N6" s="52"/>
      <c r="O6" s="87"/>
      <c r="P6" s="87"/>
      <c r="Q6" s="25"/>
      <c r="R6" s="733"/>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2" customHeight="1">
      <c r="A7" s="25"/>
      <c r="B7" s="57" t="s">
        <v>72</v>
      </c>
      <c r="C7" s="25"/>
      <c r="D7" s="88"/>
      <c r="E7" s="25"/>
      <c r="F7" s="25"/>
      <c r="G7" s="25"/>
      <c r="H7" s="26"/>
      <c r="I7" s="25"/>
      <c r="J7" s="25"/>
      <c r="K7" s="26"/>
      <c r="L7" s="30"/>
      <c r="M7" s="30"/>
      <c r="N7" s="30"/>
      <c r="O7" s="25"/>
      <c r="P7" s="25"/>
      <c r="Q7" s="25"/>
      <c r="R7" s="733"/>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5" customHeight="1" thickBot="1">
      <c r="A8" s="89"/>
      <c r="B8" s="25"/>
      <c r="C8" s="25"/>
      <c r="D8" s="25"/>
      <c r="E8" s="25"/>
      <c r="F8" s="25"/>
      <c r="G8" s="25"/>
      <c r="H8" s="25"/>
      <c r="I8" s="25"/>
      <c r="J8" s="25"/>
      <c r="K8" s="25"/>
      <c r="L8" s="25"/>
      <c r="M8" s="25"/>
      <c r="N8" s="25"/>
      <c r="O8" s="25"/>
      <c r="P8" s="25"/>
      <c r="Q8" s="25"/>
      <c r="R8" s="733"/>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55" customHeight="1">
      <c r="A9" s="89"/>
      <c r="B9" s="711" t="s">
        <v>58</v>
      </c>
      <c r="C9" s="700" t="s">
        <v>73</v>
      </c>
      <c r="D9" s="710"/>
      <c r="E9" s="702"/>
      <c r="F9" s="646" t="s">
        <v>74</v>
      </c>
      <c r="G9" s="774"/>
      <c r="H9" s="647"/>
      <c r="I9" s="700" t="s">
        <v>75</v>
      </c>
      <c r="J9" s="710"/>
      <c r="K9" s="702"/>
      <c r="L9" s="788" t="s">
        <v>76</v>
      </c>
      <c r="M9" s="789"/>
      <c r="N9" s="790"/>
      <c r="O9" s="788" t="s">
        <v>77</v>
      </c>
      <c r="P9" s="790"/>
      <c r="Q9" s="25"/>
      <c r="R9" s="733"/>
      <c r="S9" s="25"/>
      <c r="T9" s="676" t="s">
        <v>78</v>
      </c>
      <c r="U9" s="677"/>
      <c r="V9" s="678"/>
      <c r="W9" s="791" t="s">
        <v>79</v>
      </c>
      <c r="X9" s="678"/>
      <c r="Y9" s="792"/>
      <c r="Z9" s="792"/>
      <c r="AA9" s="792"/>
      <c r="AB9" s="676" t="s">
        <v>80</v>
      </c>
      <c r="AC9" s="677"/>
      <c r="AD9" s="678"/>
      <c r="AE9" s="676" t="s">
        <v>81</v>
      </c>
      <c r="AF9" s="677"/>
      <c r="AG9" s="678"/>
      <c r="AH9" s="681" t="s">
        <v>82</v>
      </c>
      <c r="AI9" s="679" t="s">
        <v>83</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1.8" thickBot="1">
      <c r="A10" s="89"/>
      <c r="B10" s="659"/>
      <c r="C10" s="86" t="s">
        <v>84</v>
      </c>
      <c r="D10" s="712" t="s">
        <v>85</v>
      </c>
      <c r="E10" s="713"/>
      <c r="F10" s="648"/>
      <c r="G10" s="775"/>
      <c r="H10" s="649"/>
      <c r="I10" s="86" t="s">
        <v>86</v>
      </c>
      <c r="J10" s="201" t="s">
        <v>87</v>
      </c>
      <c r="K10" s="90" t="s">
        <v>88</v>
      </c>
      <c r="L10" s="86" t="s">
        <v>89</v>
      </c>
      <c r="M10" s="201" t="s">
        <v>90</v>
      </c>
      <c r="N10" s="90" t="s">
        <v>91</v>
      </c>
      <c r="O10" s="86" t="s">
        <v>92</v>
      </c>
      <c r="P10" s="90" t="s">
        <v>93</v>
      </c>
      <c r="Q10" s="25"/>
      <c r="R10" s="733"/>
      <c r="S10" s="25"/>
      <c r="T10" s="777" t="s">
        <v>94</v>
      </c>
      <c r="U10" s="778"/>
      <c r="V10" s="92" t="s">
        <v>95</v>
      </c>
      <c r="W10" s="338" t="s">
        <v>96</v>
      </c>
      <c r="X10" s="92" t="s">
        <v>95</v>
      </c>
      <c r="Y10" s="350"/>
      <c r="Z10" s="350"/>
      <c r="AA10" s="350"/>
      <c r="AB10" s="91" t="s">
        <v>80</v>
      </c>
      <c r="AC10" s="49" t="s">
        <v>80</v>
      </c>
      <c r="AD10" s="92" t="s">
        <v>97</v>
      </c>
      <c r="AE10" s="91" t="s">
        <v>98</v>
      </c>
      <c r="AF10" s="49" t="s">
        <v>99</v>
      </c>
      <c r="AG10" s="92" t="s">
        <v>100</v>
      </c>
      <c r="AH10" s="682"/>
      <c r="AI10" s="680"/>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15.6">
      <c r="A11" s="89"/>
      <c r="B11" s="267">
        <v>1</v>
      </c>
      <c r="C11" s="262" t="s">
        <v>221</v>
      </c>
      <c r="D11" s="685" t="s">
        <v>346</v>
      </c>
      <c r="E11" s="686"/>
      <c r="F11" s="705" t="s">
        <v>104</v>
      </c>
      <c r="G11" s="706"/>
      <c r="H11" s="707"/>
      <c r="I11" s="309"/>
      <c r="J11" s="327"/>
      <c r="K11" s="311"/>
      <c r="L11" s="416" t="str">
        <f>IF(C11="","",IFERROR(IF(I11="","",((I11/10000)*V11*X11)*AD11),"Error ▲"))</f>
        <v/>
      </c>
      <c r="M11" s="416" t="str">
        <f>IF(I11="","",IF(J11+K11&gt;I11,"Area Error ▲",I11-J11-K11))</f>
        <v/>
      </c>
      <c r="N11" s="417" t="str">
        <f>IFERROR(IF(I11="","",IF(M11="Area Error ▲","Area Error ▲",((M11/10000)*V11*X11)*AD11)),"This intervention is not permitted within the SSM ▲")</f>
        <v/>
      </c>
      <c r="O11" s="67"/>
      <c r="P11" s="5"/>
      <c r="Q11" s="25"/>
      <c r="R11" s="733"/>
      <c r="S11" s="25"/>
      <c r="T11" s="779" t="str">
        <f>IF(C11="","",VLOOKUP(D11,'9. All Habitats + Multipliers'!$C$4:$K$102,5,FALSE))</f>
        <v>V.Low</v>
      </c>
      <c r="U11" s="780"/>
      <c r="V11" s="94">
        <f>IF(T11="","",VLOOKUP(T11,'11. Lists'!$B$47:$D$49,2,FALSE))</f>
        <v>0</v>
      </c>
      <c r="W11" s="188" t="str">
        <f>IF(C11="","",VLOOKUP(D11,'10. Condition and Temporal'!$B$6:$C$103,2,FALSE))</f>
        <v>N/A - Other</v>
      </c>
      <c r="X11" s="94">
        <f>IF(W11="","",VLOOKUP(W11,'11. Lists'!$F$47:$G$51,2,FALSE))</f>
        <v>0</v>
      </c>
      <c r="Y11" s="48"/>
      <c r="Z11" s="48"/>
      <c r="AA11" s="48"/>
      <c r="AB11" s="93" t="str">
        <f>IF(F11="","",F11)</f>
        <v>Formally identified in local strategy</v>
      </c>
      <c r="AC11" s="95" t="str">
        <f>IF(AB11="","",VLOOKUP(AB11,'11. Lists'!$F$36:$H$38,2,FALSE))</f>
        <v xml:space="preserve">High strategic significance </v>
      </c>
      <c r="AD11" s="94">
        <f>IF(AB11="","",VLOOKUP(AB11,'11. Lists'!$F$36:$H$38,3,FALSE))</f>
        <v>1.1499999999999999</v>
      </c>
      <c r="AE11" s="302">
        <f>IF(D11="","",((J11/10000)*V11*X11)*AD11)</f>
        <v>0</v>
      </c>
      <c r="AF11" s="303">
        <f>IF(D11="","",((K11/10000)*V11*X11)*AD11)</f>
        <v>0</v>
      </c>
      <c r="AG11" s="96" t="str">
        <f>IF(D11="","",M11)</f>
        <v/>
      </c>
      <c r="AH11" s="519" t="str">
        <f>IF(T11="","",VLOOKUP(T11,'11. Lists'!$B$47:$D$49,3,FALSE))</f>
        <v>Compensation Not Required</v>
      </c>
      <c r="AI11" s="553"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15.6">
      <c r="A12" s="25"/>
      <c r="B12" s="268">
        <v>2</v>
      </c>
      <c r="C12" s="262"/>
      <c r="D12" s="683"/>
      <c r="E12" s="684"/>
      <c r="F12" s="705"/>
      <c r="G12" s="706"/>
      <c r="H12" s="707"/>
      <c r="I12" s="309"/>
      <c r="J12" s="310"/>
      <c r="K12" s="311"/>
      <c r="L12" s="305" t="str">
        <f t="shared" ref="L12:L30" si="0">IF(C12="","",IFERROR(IF(I12="","",((I12/10000)*V12*X12)*AD12),"Error ▲"))</f>
        <v/>
      </c>
      <c r="M12" s="305" t="str">
        <f t="shared" ref="M12:M30" si="1">IF(I12="","",IF(J12+K12&gt;I12,"Area Error ▲",I12-J12-K12))</f>
        <v/>
      </c>
      <c r="N12" s="360" t="str">
        <f t="shared" ref="N12:N30" si="2">IFERROR(IF(I12="","",IF(M12="Area Error ▲","Area Error ▲",((M12/10000)*V12*X12)*AD12)),"This intervention is not permitted within the SSM ▲")</f>
        <v/>
      </c>
      <c r="O12" s="68"/>
      <c r="P12" s="3"/>
      <c r="Q12" s="25"/>
      <c r="R12" s="733"/>
      <c r="S12" s="25"/>
      <c r="T12" s="779" t="str">
        <f>IF(C12="","",VLOOKUP(D12,'9. All Habitats + Multipliers'!$C$4:$K$102,5,FALSE))</f>
        <v/>
      </c>
      <c r="U12" s="780"/>
      <c r="V12" s="94" t="str">
        <f>IF(T12="","",VLOOKUP(T12,'11. Lists'!$B$47:$D$49,2,FALSE))</f>
        <v/>
      </c>
      <c r="W12" s="188" t="str">
        <f>IF(C12="","",VLOOKUP(D12,'10. Condition and Temporal'!$B$6:$C$103,2,FALSE))</f>
        <v/>
      </c>
      <c r="X12" s="94" t="str">
        <f>IF(W12="","",VLOOKUP(W12,'11. Lists'!$F$47:$G$51,2,FALSE))</f>
        <v/>
      </c>
      <c r="Y12" s="48"/>
      <c r="Z12" s="48"/>
      <c r="AA12" s="48"/>
      <c r="AB12" s="93" t="str">
        <f>IF(F12="","",F12)</f>
        <v/>
      </c>
      <c r="AC12" s="95" t="str">
        <f>IF(AB12="","",VLOOKUP(AB12,'11. Lists'!$F$36:$H$38,2,FALSE))</f>
        <v/>
      </c>
      <c r="AD12" s="94" t="str">
        <f>IF(AB12="","",VLOOKUP(AB12,'11. Lists'!$F$36:$H$38,3,FALSE))</f>
        <v/>
      </c>
      <c r="AE12" s="302" t="str">
        <f t="shared" ref="AE12:AE30" si="3">IF(D12="","",((J12/10000)*V12*X12)*AD12)</f>
        <v/>
      </c>
      <c r="AF12" s="303" t="str">
        <f t="shared" ref="AF12:AF30" si="4">IF(D12="","",((K12/10000)*V12*X12)*AD12)</f>
        <v/>
      </c>
      <c r="AG12" s="96" t="str">
        <f t="shared" ref="AG12:AG31" si="5">IF(D12="","",M12)</f>
        <v/>
      </c>
      <c r="AH12" s="519" t="str">
        <f>IF(T12="","",VLOOKUP(T12,'11. Lists'!$B$47:$D$49,3,FALSE))</f>
        <v/>
      </c>
      <c r="AI12" s="553" t="str">
        <f>IF(D12="","",VLOOKUP(D12,'10. Condition and Temporal'!$B$6:$L$103,4,FALSE))</f>
        <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6">
      <c r="A13" s="25"/>
      <c r="B13" s="268">
        <v>3</v>
      </c>
      <c r="C13" s="262"/>
      <c r="D13" s="683"/>
      <c r="E13" s="684"/>
      <c r="F13" s="705"/>
      <c r="G13" s="706"/>
      <c r="H13" s="707"/>
      <c r="I13" s="309"/>
      <c r="J13" s="310"/>
      <c r="K13" s="311"/>
      <c r="L13" s="305" t="str">
        <f t="shared" si="0"/>
        <v/>
      </c>
      <c r="M13" s="305" t="str">
        <f t="shared" si="1"/>
        <v/>
      </c>
      <c r="N13" s="360" t="str">
        <f t="shared" si="2"/>
        <v/>
      </c>
      <c r="O13" s="68"/>
      <c r="P13" s="3"/>
      <c r="Q13" s="25"/>
      <c r="R13" s="733"/>
      <c r="S13" s="25"/>
      <c r="T13" s="779" t="str">
        <f>IF(C13="","",VLOOKUP(D13,'9. All Habitats + Multipliers'!$C$4:$K$102,5,FALSE))</f>
        <v/>
      </c>
      <c r="U13" s="780"/>
      <c r="V13" s="94" t="str">
        <f>IF(T13="","",VLOOKUP(T13,'11. Lists'!$B$47:$D$49,2,FALSE))</f>
        <v/>
      </c>
      <c r="W13" s="188"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302" t="str">
        <f t="shared" si="3"/>
        <v/>
      </c>
      <c r="AF13" s="303" t="str">
        <f t="shared" si="4"/>
        <v/>
      </c>
      <c r="AG13" s="96" t="str">
        <f t="shared" si="5"/>
        <v/>
      </c>
      <c r="AH13" s="519" t="str">
        <f>IF(T13="","",VLOOKUP(T13,'11. Lists'!$B$47:$D$49,3,FALSE))</f>
        <v/>
      </c>
      <c r="AI13" s="553"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6">
      <c r="A14" s="25"/>
      <c r="B14" s="268">
        <v>4</v>
      </c>
      <c r="C14" s="262"/>
      <c r="D14" s="685"/>
      <c r="E14" s="686"/>
      <c r="F14" s="705"/>
      <c r="G14" s="706"/>
      <c r="H14" s="707"/>
      <c r="I14" s="309"/>
      <c r="J14" s="310"/>
      <c r="K14" s="311"/>
      <c r="L14" s="305" t="str">
        <f t="shared" si="0"/>
        <v/>
      </c>
      <c r="M14" s="305" t="str">
        <f t="shared" si="1"/>
        <v/>
      </c>
      <c r="N14" s="360" t="str">
        <f t="shared" si="2"/>
        <v/>
      </c>
      <c r="O14" s="68"/>
      <c r="P14" s="3"/>
      <c r="Q14" s="25"/>
      <c r="R14" s="733"/>
      <c r="S14" s="25"/>
      <c r="T14" s="779" t="str">
        <f>IF(C14="","",VLOOKUP(D14,'9. All Habitats + Multipliers'!$C$4:$K$102,5,FALSE))</f>
        <v/>
      </c>
      <c r="U14" s="780"/>
      <c r="V14" s="94" t="str">
        <f>IF(T14="","",VLOOKUP(T14,'11. Lists'!$B$47:$D$49,2,FALSE))</f>
        <v/>
      </c>
      <c r="W14" s="188"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302" t="str">
        <f t="shared" si="3"/>
        <v/>
      </c>
      <c r="AF14" s="303" t="str">
        <f t="shared" si="4"/>
        <v/>
      </c>
      <c r="AG14" s="96" t="str">
        <f t="shared" si="5"/>
        <v/>
      </c>
      <c r="AH14" s="519" t="str">
        <f>IF(T14="","",VLOOKUP(T14,'11. Lists'!$B$47:$D$49,3,FALSE))</f>
        <v/>
      </c>
      <c r="AI14" s="553"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6">
      <c r="A15" s="25"/>
      <c r="B15" s="268">
        <v>5</v>
      </c>
      <c r="C15" s="262"/>
      <c r="D15" s="683"/>
      <c r="E15" s="684"/>
      <c r="F15" s="705"/>
      <c r="G15" s="706"/>
      <c r="H15" s="707"/>
      <c r="I15" s="309"/>
      <c r="J15" s="310"/>
      <c r="K15" s="311"/>
      <c r="L15" s="305" t="str">
        <f t="shared" si="0"/>
        <v/>
      </c>
      <c r="M15" s="305" t="str">
        <f t="shared" si="1"/>
        <v/>
      </c>
      <c r="N15" s="360" t="str">
        <f t="shared" si="2"/>
        <v/>
      </c>
      <c r="O15" s="68"/>
      <c r="P15" s="3"/>
      <c r="Q15" s="25"/>
      <c r="R15" s="733"/>
      <c r="S15" s="25"/>
      <c r="T15" s="779" t="str">
        <f>IF(C15="","",VLOOKUP(D15,'9. All Habitats + Multipliers'!$C$4:$K$102,5,FALSE))</f>
        <v/>
      </c>
      <c r="U15" s="780"/>
      <c r="V15" s="94" t="str">
        <f>IF(T15="","",VLOOKUP(T15,'11. Lists'!$B$47:$D$49,2,FALSE))</f>
        <v/>
      </c>
      <c r="W15" s="188"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302" t="str">
        <f t="shared" si="3"/>
        <v/>
      </c>
      <c r="AF15" s="303" t="str">
        <f t="shared" si="4"/>
        <v/>
      </c>
      <c r="AG15" s="96" t="str">
        <f t="shared" si="5"/>
        <v/>
      </c>
      <c r="AH15" s="519" t="str">
        <f>IF(T15="","",VLOOKUP(T15,'11. Lists'!$B$47:$D$49,3,FALSE))</f>
        <v/>
      </c>
      <c r="AI15" s="553"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6">
      <c r="A16" s="25"/>
      <c r="B16" s="268">
        <v>6</v>
      </c>
      <c r="C16" s="262"/>
      <c r="D16" s="683"/>
      <c r="E16" s="684"/>
      <c r="F16" s="705"/>
      <c r="G16" s="706"/>
      <c r="H16" s="707"/>
      <c r="I16" s="309"/>
      <c r="J16" s="310"/>
      <c r="K16" s="311"/>
      <c r="L16" s="305" t="str">
        <f t="shared" si="0"/>
        <v/>
      </c>
      <c r="M16" s="305" t="str">
        <f t="shared" si="1"/>
        <v/>
      </c>
      <c r="N16" s="360" t="str">
        <f t="shared" si="2"/>
        <v/>
      </c>
      <c r="O16" s="68"/>
      <c r="P16" s="3"/>
      <c r="Q16" s="25"/>
      <c r="R16" s="733"/>
      <c r="S16" s="25"/>
      <c r="T16" s="779" t="str">
        <f>IF(C16="","",VLOOKUP(D16,'9. All Habitats + Multipliers'!$C$4:$K$102,5,FALSE))</f>
        <v/>
      </c>
      <c r="U16" s="780"/>
      <c r="V16" s="94" t="str">
        <f>IF(T16="","",VLOOKUP(T16,'11. Lists'!$B$47:$D$49,2,FALSE))</f>
        <v/>
      </c>
      <c r="W16" s="188"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302" t="str">
        <f t="shared" si="3"/>
        <v/>
      </c>
      <c r="AF16" s="303" t="str">
        <f t="shared" si="4"/>
        <v/>
      </c>
      <c r="AG16" s="96" t="str">
        <f t="shared" si="5"/>
        <v/>
      </c>
      <c r="AH16" s="519" t="str">
        <f>IF(T16="","",VLOOKUP(T16,'11. Lists'!$B$47:$D$49,3,FALSE))</f>
        <v/>
      </c>
      <c r="AI16" s="553"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6">
      <c r="A17" s="25"/>
      <c r="B17" s="268">
        <v>7</v>
      </c>
      <c r="C17" s="262"/>
      <c r="D17" s="683"/>
      <c r="E17" s="684"/>
      <c r="F17" s="705"/>
      <c r="G17" s="706"/>
      <c r="H17" s="707"/>
      <c r="I17" s="309"/>
      <c r="J17" s="310"/>
      <c r="K17" s="311"/>
      <c r="L17" s="305" t="str">
        <f t="shared" si="0"/>
        <v/>
      </c>
      <c r="M17" s="305" t="str">
        <f t="shared" si="1"/>
        <v/>
      </c>
      <c r="N17" s="360" t="str">
        <f t="shared" si="2"/>
        <v/>
      </c>
      <c r="O17" s="68"/>
      <c r="P17" s="3"/>
      <c r="Q17" s="25"/>
      <c r="R17" s="733"/>
      <c r="S17" s="25"/>
      <c r="T17" s="779" t="str">
        <f>IF(C17="","",VLOOKUP(D17,'9. All Habitats + Multipliers'!$C$4:$K$102,5,FALSE))</f>
        <v/>
      </c>
      <c r="U17" s="780"/>
      <c r="V17" s="94" t="str">
        <f>IF(T17="","",VLOOKUP(T17,'11. Lists'!$B$47:$D$49,2,FALSE))</f>
        <v/>
      </c>
      <c r="W17" s="188"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302" t="str">
        <f t="shared" si="3"/>
        <v/>
      </c>
      <c r="AF17" s="303" t="str">
        <f t="shared" si="4"/>
        <v/>
      </c>
      <c r="AG17" s="96" t="str">
        <f t="shared" si="5"/>
        <v/>
      </c>
      <c r="AH17" s="519" t="str">
        <f>IF(T17="","",VLOOKUP(T17,'11. Lists'!$B$47:$D$49,3,FALSE))</f>
        <v/>
      </c>
      <c r="AI17" s="553"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6">
      <c r="A18" s="25"/>
      <c r="B18" s="268">
        <v>8</v>
      </c>
      <c r="C18" s="262"/>
      <c r="D18" s="683"/>
      <c r="E18" s="684"/>
      <c r="F18" s="705"/>
      <c r="G18" s="706"/>
      <c r="H18" s="707"/>
      <c r="I18" s="309"/>
      <c r="J18" s="310"/>
      <c r="K18" s="311"/>
      <c r="L18" s="305" t="str">
        <f t="shared" si="0"/>
        <v/>
      </c>
      <c r="M18" s="305" t="str">
        <f t="shared" si="1"/>
        <v/>
      </c>
      <c r="N18" s="360" t="str">
        <f t="shared" si="2"/>
        <v/>
      </c>
      <c r="O18" s="68"/>
      <c r="P18" s="3"/>
      <c r="Q18" s="25"/>
      <c r="R18" s="733"/>
      <c r="S18" s="25"/>
      <c r="T18" s="779" t="str">
        <f>IF(C18="","",VLOOKUP(D18,'9. All Habitats + Multipliers'!$C$4:$K$102,5,FALSE))</f>
        <v/>
      </c>
      <c r="U18" s="780"/>
      <c r="V18" s="94" t="str">
        <f>IF(T18="","",VLOOKUP(T18,'11. Lists'!$B$47:$D$49,2,FALSE))</f>
        <v/>
      </c>
      <c r="W18" s="188"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302" t="str">
        <f t="shared" si="3"/>
        <v/>
      </c>
      <c r="AF18" s="303" t="str">
        <f t="shared" si="4"/>
        <v/>
      </c>
      <c r="AG18" s="96" t="str">
        <f t="shared" si="5"/>
        <v/>
      </c>
      <c r="AH18" s="519" t="str">
        <f>IF(T18="","",VLOOKUP(T18,'11. Lists'!$B$47:$D$49,3,FALSE))</f>
        <v/>
      </c>
      <c r="AI18" s="553"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6">
      <c r="A19" s="25"/>
      <c r="B19" s="268">
        <v>9</v>
      </c>
      <c r="C19" s="262"/>
      <c r="D19" s="683"/>
      <c r="E19" s="684"/>
      <c r="F19" s="705"/>
      <c r="G19" s="706"/>
      <c r="H19" s="707"/>
      <c r="I19" s="309"/>
      <c r="J19" s="310"/>
      <c r="K19" s="311"/>
      <c r="L19" s="305" t="str">
        <f t="shared" si="0"/>
        <v/>
      </c>
      <c r="M19" s="305" t="str">
        <f t="shared" si="1"/>
        <v/>
      </c>
      <c r="N19" s="360" t="str">
        <f t="shared" si="2"/>
        <v/>
      </c>
      <c r="O19" s="68"/>
      <c r="P19" s="3"/>
      <c r="Q19" s="25"/>
      <c r="R19" s="733"/>
      <c r="S19" s="25"/>
      <c r="T19" s="779" t="str">
        <f>IF(C19="","",VLOOKUP(D19,'9. All Habitats + Multipliers'!$C$4:$K$102,5,FALSE))</f>
        <v/>
      </c>
      <c r="U19" s="780"/>
      <c r="V19" s="94" t="str">
        <f>IF(T19="","",VLOOKUP(T19,'11. Lists'!$B$47:$D$49,2,FALSE))</f>
        <v/>
      </c>
      <c r="W19" s="188"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302" t="str">
        <f t="shared" si="3"/>
        <v/>
      </c>
      <c r="AF19" s="303" t="str">
        <f t="shared" si="4"/>
        <v/>
      </c>
      <c r="AG19" s="96" t="str">
        <f t="shared" si="5"/>
        <v/>
      </c>
      <c r="AH19" s="519" t="str">
        <f>IF(T19="","",VLOOKUP(T19,'11. Lists'!$B$47:$D$49,3,FALSE))</f>
        <v/>
      </c>
      <c r="AI19" s="553"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6">
      <c r="A20" s="25"/>
      <c r="B20" s="268">
        <v>10</v>
      </c>
      <c r="C20" s="262"/>
      <c r="D20" s="683"/>
      <c r="E20" s="684"/>
      <c r="F20" s="705"/>
      <c r="G20" s="706"/>
      <c r="H20" s="707"/>
      <c r="I20" s="309"/>
      <c r="J20" s="310"/>
      <c r="K20" s="311"/>
      <c r="L20" s="305" t="str">
        <f t="shared" si="0"/>
        <v/>
      </c>
      <c r="M20" s="305" t="str">
        <f t="shared" si="1"/>
        <v/>
      </c>
      <c r="N20" s="360" t="str">
        <f t="shared" si="2"/>
        <v/>
      </c>
      <c r="O20" s="69"/>
      <c r="P20" s="8"/>
      <c r="Q20" s="25"/>
      <c r="R20" s="733"/>
      <c r="S20" s="25"/>
      <c r="T20" s="779" t="str">
        <f>IF(C20="","",VLOOKUP(D20,'9. All Habitats + Multipliers'!$C$4:$K$102,5,FALSE))</f>
        <v/>
      </c>
      <c r="U20" s="780"/>
      <c r="V20" s="94" t="str">
        <f>IF(T20="","",VLOOKUP(T20,'11. Lists'!$B$47:$D$49,2,FALSE))</f>
        <v/>
      </c>
      <c r="W20" s="188"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302" t="str">
        <f t="shared" si="3"/>
        <v/>
      </c>
      <c r="AF20" s="303" t="str">
        <f t="shared" si="4"/>
        <v/>
      </c>
      <c r="AG20" s="96" t="str">
        <f t="shared" si="5"/>
        <v/>
      </c>
      <c r="AH20" s="519" t="str">
        <f>IF(T20="","",VLOOKUP(T20,'11. Lists'!$B$47:$D$49,3,FALSE))</f>
        <v/>
      </c>
      <c r="AI20" s="553"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6">
      <c r="A21" s="25"/>
      <c r="B21" s="268">
        <v>11</v>
      </c>
      <c r="C21" s="262"/>
      <c r="D21" s="683"/>
      <c r="E21" s="684"/>
      <c r="F21" s="705"/>
      <c r="G21" s="706"/>
      <c r="H21" s="707"/>
      <c r="I21" s="309"/>
      <c r="J21" s="310"/>
      <c r="K21" s="311"/>
      <c r="L21" s="305" t="str">
        <f t="shared" si="0"/>
        <v/>
      </c>
      <c r="M21" s="305" t="str">
        <f t="shared" si="1"/>
        <v/>
      </c>
      <c r="N21" s="360" t="str">
        <f t="shared" si="2"/>
        <v/>
      </c>
      <c r="O21" s="69"/>
      <c r="P21" s="8"/>
      <c r="Q21" s="25"/>
      <c r="R21" s="733"/>
      <c r="S21" s="25"/>
      <c r="T21" s="779" t="str">
        <f>IF(C21="","",VLOOKUP(D21,'9. All Habitats + Multipliers'!$C$4:$K$102,5,FALSE))</f>
        <v/>
      </c>
      <c r="U21" s="780"/>
      <c r="V21" s="94" t="str">
        <f>IF(T21="","",VLOOKUP(T21,'11. Lists'!$B$47:$D$49,2,FALSE))</f>
        <v/>
      </c>
      <c r="W21" s="188"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302" t="str">
        <f t="shared" si="3"/>
        <v/>
      </c>
      <c r="AF21" s="303" t="str">
        <f t="shared" si="4"/>
        <v/>
      </c>
      <c r="AG21" s="96" t="str">
        <f t="shared" si="5"/>
        <v/>
      </c>
      <c r="AH21" s="519" t="str">
        <f>IF(T21="","",VLOOKUP(T21,'11. Lists'!$B$47:$D$49,3,FALSE))</f>
        <v/>
      </c>
      <c r="AI21" s="553"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6">
      <c r="A22" s="25"/>
      <c r="B22" s="268">
        <v>12</v>
      </c>
      <c r="C22" s="262"/>
      <c r="D22" s="683"/>
      <c r="E22" s="684"/>
      <c r="F22" s="705"/>
      <c r="G22" s="706"/>
      <c r="H22" s="707"/>
      <c r="I22" s="309"/>
      <c r="J22" s="310"/>
      <c r="K22" s="311"/>
      <c r="L22" s="305" t="str">
        <f t="shared" si="0"/>
        <v/>
      </c>
      <c r="M22" s="305" t="str">
        <f t="shared" si="1"/>
        <v/>
      </c>
      <c r="N22" s="360" t="str">
        <f t="shared" si="2"/>
        <v/>
      </c>
      <c r="O22" s="69"/>
      <c r="P22" s="8"/>
      <c r="Q22" s="25"/>
      <c r="R22" s="733"/>
      <c r="S22" s="25"/>
      <c r="T22" s="779" t="str">
        <f>IF(C22="","",VLOOKUP(D22,'9. All Habitats + Multipliers'!$C$4:$K$102,5,FALSE))</f>
        <v/>
      </c>
      <c r="U22" s="780"/>
      <c r="V22" s="94" t="str">
        <f>IF(T22="","",VLOOKUP(T22,'11. Lists'!$B$47:$D$49,2,FALSE))</f>
        <v/>
      </c>
      <c r="W22" s="188"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302" t="str">
        <f t="shared" si="3"/>
        <v/>
      </c>
      <c r="AF22" s="303" t="str">
        <f t="shared" si="4"/>
        <v/>
      </c>
      <c r="AG22" s="96" t="str">
        <f t="shared" si="5"/>
        <v/>
      </c>
      <c r="AH22" s="519" t="str">
        <f>IF(T22="","",VLOOKUP(T22,'11. Lists'!$B$47:$D$49,3,FALSE))</f>
        <v/>
      </c>
      <c r="AI22" s="553"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6">
      <c r="A23" s="25"/>
      <c r="B23" s="268">
        <v>13</v>
      </c>
      <c r="C23" s="263"/>
      <c r="D23" s="683"/>
      <c r="E23" s="684"/>
      <c r="F23" s="705"/>
      <c r="G23" s="706"/>
      <c r="H23" s="707"/>
      <c r="I23" s="309"/>
      <c r="J23" s="310"/>
      <c r="K23" s="311"/>
      <c r="L23" s="305" t="str">
        <f t="shared" si="0"/>
        <v/>
      </c>
      <c r="M23" s="305" t="str">
        <f t="shared" si="1"/>
        <v/>
      </c>
      <c r="N23" s="360" t="str">
        <f t="shared" si="2"/>
        <v/>
      </c>
      <c r="O23" s="69"/>
      <c r="P23" s="8"/>
      <c r="Q23" s="25"/>
      <c r="R23" s="733"/>
      <c r="S23" s="25"/>
      <c r="T23" s="779" t="str">
        <f>IF(C23="","",VLOOKUP(D23,'9. All Habitats + Multipliers'!$C$4:$K$102,5,FALSE))</f>
        <v/>
      </c>
      <c r="U23" s="780"/>
      <c r="V23" s="94" t="str">
        <f>IF(T23="","",VLOOKUP(T23,'11. Lists'!$B$47:$D$49,2,FALSE))</f>
        <v/>
      </c>
      <c r="W23" s="188"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302" t="str">
        <f t="shared" si="3"/>
        <v/>
      </c>
      <c r="AF23" s="303" t="str">
        <f t="shared" si="4"/>
        <v/>
      </c>
      <c r="AG23" s="96" t="str">
        <f t="shared" si="5"/>
        <v/>
      </c>
      <c r="AH23" s="519" t="str">
        <f>IF(T23="","",VLOOKUP(T23,'11. Lists'!$B$47:$D$49,3,FALSE))</f>
        <v/>
      </c>
      <c r="AI23" s="553"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6">
      <c r="A24" s="25"/>
      <c r="B24" s="268">
        <v>14</v>
      </c>
      <c r="C24" s="263"/>
      <c r="D24" s="683"/>
      <c r="E24" s="684"/>
      <c r="F24" s="705"/>
      <c r="G24" s="706"/>
      <c r="H24" s="707"/>
      <c r="I24" s="309"/>
      <c r="J24" s="310"/>
      <c r="K24" s="311"/>
      <c r="L24" s="305" t="str">
        <f t="shared" si="0"/>
        <v/>
      </c>
      <c r="M24" s="305" t="str">
        <f t="shared" si="1"/>
        <v/>
      </c>
      <c r="N24" s="360" t="str">
        <f t="shared" si="2"/>
        <v/>
      </c>
      <c r="O24" s="69"/>
      <c r="P24" s="8"/>
      <c r="Q24" s="25"/>
      <c r="R24" s="733"/>
      <c r="S24" s="25"/>
      <c r="T24" s="779" t="str">
        <f>IF(C24="","",VLOOKUP(D24,'9. All Habitats + Multipliers'!$C$4:$K$102,5,FALSE))</f>
        <v/>
      </c>
      <c r="U24" s="780"/>
      <c r="V24" s="94" t="str">
        <f>IF(T24="","",VLOOKUP(T24,'11. Lists'!$B$47:$D$49,2,FALSE))</f>
        <v/>
      </c>
      <c r="W24" s="188"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302" t="str">
        <f t="shared" si="3"/>
        <v/>
      </c>
      <c r="AF24" s="303" t="str">
        <f t="shared" si="4"/>
        <v/>
      </c>
      <c r="AG24" s="96" t="str">
        <f t="shared" si="5"/>
        <v/>
      </c>
      <c r="AH24" s="519" t="str">
        <f>IF(T24="","",VLOOKUP(T24,'11. Lists'!$B$47:$D$49,3,FALSE))</f>
        <v/>
      </c>
      <c r="AI24" s="553"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6">
      <c r="A25" s="25"/>
      <c r="B25" s="268">
        <v>15</v>
      </c>
      <c r="C25" s="263"/>
      <c r="D25" s="683"/>
      <c r="E25" s="684"/>
      <c r="F25" s="705"/>
      <c r="G25" s="706"/>
      <c r="H25" s="707"/>
      <c r="I25" s="309"/>
      <c r="J25" s="310"/>
      <c r="K25" s="311"/>
      <c r="L25" s="305" t="str">
        <f t="shared" si="0"/>
        <v/>
      </c>
      <c r="M25" s="305" t="str">
        <f t="shared" si="1"/>
        <v/>
      </c>
      <c r="N25" s="360" t="str">
        <f t="shared" si="2"/>
        <v/>
      </c>
      <c r="O25" s="69"/>
      <c r="P25" s="8"/>
      <c r="Q25" s="25"/>
      <c r="R25" s="733"/>
      <c r="S25" s="25"/>
      <c r="T25" s="779" t="str">
        <f>IF(C25="","",VLOOKUP(D25,'9. All Habitats + Multipliers'!$C$4:$K$102,5,FALSE))</f>
        <v/>
      </c>
      <c r="U25" s="780"/>
      <c r="V25" s="94" t="str">
        <f>IF(T25="","",VLOOKUP(T25,'11. Lists'!$B$47:$D$49,2,FALSE))</f>
        <v/>
      </c>
      <c r="W25" s="188"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302" t="str">
        <f t="shared" si="3"/>
        <v/>
      </c>
      <c r="AF25" s="303" t="str">
        <f t="shared" si="4"/>
        <v/>
      </c>
      <c r="AG25" s="96" t="str">
        <f t="shared" si="5"/>
        <v/>
      </c>
      <c r="AH25" s="519" t="str">
        <f>IF(T25="","",VLOOKUP(T25,'11. Lists'!$B$47:$D$49,3,FALSE))</f>
        <v/>
      </c>
      <c r="AI25" s="553"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6">
      <c r="A26" s="25"/>
      <c r="B26" s="268">
        <v>16</v>
      </c>
      <c r="C26" s="263"/>
      <c r="D26" s="683"/>
      <c r="E26" s="684"/>
      <c r="F26" s="705"/>
      <c r="G26" s="706"/>
      <c r="H26" s="707"/>
      <c r="I26" s="309"/>
      <c r="J26" s="310"/>
      <c r="K26" s="311"/>
      <c r="L26" s="305" t="str">
        <f t="shared" si="0"/>
        <v/>
      </c>
      <c r="M26" s="305" t="str">
        <f t="shared" si="1"/>
        <v/>
      </c>
      <c r="N26" s="360" t="str">
        <f t="shared" si="2"/>
        <v/>
      </c>
      <c r="O26" s="69"/>
      <c r="P26" s="8"/>
      <c r="Q26" s="25"/>
      <c r="R26" s="733"/>
      <c r="S26" s="25"/>
      <c r="T26" s="779" t="str">
        <f>IF(C26="","",VLOOKUP(D26,'9. All Habitats + Multipliers'!$C$4:$K$102,5,FALSE))</f>
        <v/>
      </c>
      <c r="U26" s="780"/>
      <c r="V26" s="94" t="str">
        <f>IF(T26="","",VLOOKUP(T26,'11. Lists'!$B$47:$D$49,2,FALSE))</f>
        <v/>
      </c>
      <c r="W26" s="188"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302" t="str">
        <f t="shared" si="3"/>
        <v/>
      </c>
      <c r="AF26" s="303" t="str">
        <f t="shared" si="4"/>
        <v/>
      </c>
      <c r="AG26" s="96" t="str">
        <f t="shared" si="5"/>
        <v/>
      </c>
      <c r="AH26" s="519" t="str">
        <f>IF(T26="","",VLOOKUP(T26,'11. Lists'!$B$47:$D$49,3,FALSE))</f>
        <v/>
      </c>
      <c r="AI26" s="553"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6">
      <c r="A27" s="25"/>
      <c r="B27" s="268">
        <v>17</v>
      </c>
      <c r="C27" s="263"/>
      <c r="D27" s="683"/>
      <c r="E27" s="684"/>
      <c r="F27" s="705"/>
      <c r="G27" s="706"/>
      <c r="H27" s="707"/>
      <c r="I27" s="309"/>
      <c r="J27" s="310"/>
      <c r="K27" s="311"/>
      <c r="L27" s="305" t="str">
        <f t="shared" si="0"/>
        <v/>
      </c>
      <c r="M27" s="305" t="str">
        <f t="shared" si="1"/>
        <v/>
      </c>
      <c r="N27" s="360" t="str">
        <f t="shared" si="2"/>
        <v/>
      </c>
      <c r="O27" s="69"/>
      <c r="P27" s="8"/>
      <c r="Q27" s="25"/>
      <c r="R27" s="733"/>
      <c r="S27" s="25"/>
      <c r="T27" s="779" t="str">
        <f>IF(C27="","",VLOOKUP(D27,'9. All Habitats + Multipliers'!$C$4:$K$102,5,FALSE))</f>
        <v/>
      </c>
      <c r="U27" s="780"/>
      <c r="V27" s="94" t="str">
        <f>IF(T27="","",VLOOKUP(T27,'11. Lists'!$B$47:$D$49,2,FALSE))</f>
        <v/>
      </c>
      <c r="W27" s="188"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302" t="str">
        <f t="shared" si="3"/>
        <v/>
      </c>
      <c r="AF27" s="303" t="str">
        <f t="shared" si="4"/>
        <v/>
      </c>
      <c r="AG27" s="96" t="str">
        <f t="shared" si="5"/>
        <v/>
      </c>
      <c r="AH27" s="519" t="str">
        <f>IF(T27="","",VLOOKUP(T27,'11. Lists'!$B$47:$D$49,3,FALSE))</f>
        <v/>
      </c>
      <c r="AI27" s="553"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6">
      <c r="A28" s="25"/>
      <c r="B28" s="268">
        <v>18</v>
      </c>
      <c r="C28" s="263"/>
      <c r="D28" s="683"/>
      <c r="E28" s="684"/>
      <c r="F28" s="705"/>
      <c r="G28" s="706"/>
      <c r="H28" s="707"/>
      <c r="I28" s="309"/>
      <c r="J28" s="310"/>
      <c r="K28" s="311"/>
      <c r="L28" s="305" t="str">
        <f t="shared" si="0"/>
        <v/>
      </c>
      <c r="M28" s="305" t="str">
        <f t="shared" si="1"/>
        <v/>
      </c>
      <c r="N28" s="360" t="str">
        <f t="shared" si="2"/>
        <v/>
      </c>
      <c r="O28" s="69"/>
      <c r="P28" s="8"/>
      <c r="Q28" s="25"/>
      <c r="R28" s="733"/>
      <c r="S28" s="25"/>
      <c r="T28" s="779" t="str">
        <f>IF(C28="","",VLOOKUP(D28,'9. All Habitats + Multipliers'!$C$4:$K$102,5,FALSE))</f>
        <v/>
      </c>
      <c r="U28" s="780"/>
      <c r="V28" s="94" t="str">
        <f>IF(T28="","",VLOOKUP(T28,'11. Lists'!$B$47:$D$49,2,FALSE))</f>
        <v/>
      </c>
      <c r="W28" s="188"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302" t="str">
        <f t="shared" si="3"/>
        <v/>
      </c>
      <c r="AF28" s="303" t="str">
        <f t="shared" si="4"/>
        <v/>
      </c>
      <c r="AG28" s="96" t="str">
        <f t="shared" si="5"/>
        <v/>
      </c>
      <c r="AH28" s="519" t="str">
        <f>IF(T28="","",VLOOKUP(T28,'11. Lists'!$B$47:$D$49,3,FALSE))</f>
        <v/>
      </c>
      <c r="AI28" s="553"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6">
      <c r="A29" s="25"/>
      <c r="B29" s="268">
        <v>19</v>
      </c>
      <c r="C29" s="263"/>
      <c r="D29" s="683"/>
      <c r="E29" s="684"/>
      <c r="F29" s="705"/>
      <c r="G29" s="706"/>
      <c r="H29" s="707"/>
      <c r="I29" s="309"/>
      <c r="J29" s="310"/>
      <c r="K29" s="311"/>
      <c r="L29" s="305" t="str">
        <f t="shared" si="0"/>
        <v/>
      </c>
      <c r="M29" s="305" t="str">
        <f t="shared" si="1"/>
        <v/>
      </c>
      <c r="N29" s="360" t="str">
        <f t="shared" si="2"/>
        <v/>
      </c>
      <c r="O29" s="69"/>
      <c r="P29" s="8"/>
      <c r="Q29" s="25"/>
      <c r="R29" s="733"/>
      <c r="S29" s="25"/>
      <c r="T29" s="779" t="str">
        <f>IF(C29="","",VLOOKUP(D29,'9. All Habitats + Multipliers'!$C$4:$K$102,5,FALSE))</f>
        <v/>
      </c>
      <c r="U29" s="780"/>
      <c r="V29" s="94" t="str">
        <f>IF(T29="","",VLOOKUP(T29,'11. Lists'!$B$47:$D$49,2,FALSE))</f>
        <v/>
      </c>
      <c r="W29" s="188"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302" t="str">
        <f t="shared" si="3"/>
        <v/>
      </c>
      <c r="AF29" s="303" t="str">
        <f t="shared" si="4"/>
        <v/>
      </c>
      <c r="AG29" s="96" t="str">
        <f t="shared" si="5"/>
        <v/>
      </c>
      <c r="AH29" s="519" t="str">
        <f>IF(T29="","",VLOOKUP(T29,'11. Lists'!$B$47:$D$49,3,FALSE))</f>
        <v/>
      </c>
      <c r="AI29" s="553"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2" thickBot="1">
      <c r="A30" s="25"/>
      <c r="B30" s="269">
        <v>20</v>
      </c>
      <c r="C30" s="262"/>
      <c r="D30" s="708"/>
      <c r="E30" s="709"/>
      <c r="F30" s="705"/>
      <c r="G30" s="706"/>
      <c r="H30" s="707"/>
      <c r="I30" s="309"/>
      <c r="J30" s="310"/>
      <c r="K30" s="311"/>
      <c r="L30" s="418" t="str">
        <f t="shared" si="0"/>
        <v/>
      </c>
      <c r="M30" s="418" t="str">
        <f t="shared" si="1"/>
        <v/>
      </c>
      <c r="N30" s="419" t="str">
        <f t="shared" si="2"/>
        <v/>
      </c>
      <c r="O30" s="70"/>
      <c r="P30" s="4"/>
      <c r="Q30" s="25"/>
      <c r="R30" s="733"/>
      <c r="S30" s="25"/>
      <c r="T30" s="779" t="str">
        <f>IF(C30="","",VLOOKUP(D30,'9. All Habitats + Multipliers'!$C$4:$K$102,5,FALSE))</f>
        <v/>
      </c>
      <c r="U30" s="780"/>
      <c r="V30" s="94" t="str">
        <f>IF(T30="","",VLOOKUP(T30,'11. Lists'!$B$47:$D$49,2,FALSE))</f>
        <v/>
      </c>
      <c r="W30" s="188"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302" t="str">
        <f t="shared" si="3"/>
        <v/>
      </c>
      <c r="AF30" s="303" t="str">
        <f t="shared" si="4"/>
        <v/>
      </c>
      <c r="AG30" s="96" t="str">
        <f t="shared" si="5"/>
        <v/>
      </c>
      <c r="AH30" s="519" t="str">
        <f>IF(T30="","",VLOOKUP(T30,'11. Lists'!$B$47:$D$49,3,FALSE))</f>
        <v/>
      </c>
      <c r="AI30" s="553"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29.4" thickBot="1">
      <c r="A31" s="25"/>
      <c r="B31" s="269" t="s">
        <v>101</v>
      </c>
      <c r="C31" s="97" t="s">
        <v>102</v>
      </c>
      <c r="D31" s="703" t="s">
        <v>103</v>
      </c>
      <c r="E31" s="704"/>
      <c r="F31" s="771" t="s">
        <v>104</v>
      </c>
      <c r="G31" s="772"/>
      <c r="H31" s="773"/>
      <c r="I31" s="328">
        <f>I99</f>
        <v>0</v>
      </c>
      <c r="J31" s="329">
        <f>L99</f>
        <v>0</v>
      </c>
      <c r="K31" s="434"/>
      <c r="L31" s="413">
        <f>IF(C31="","",((I31/10000)*V31*X31)*AD31)</f>
        <v>0</v>
      </c>
      <c r="M31" s="420">
        <f>IF(C31="","",I31-J31-K31)</f>
        <v>0</v>
      </c>
      <c r="N31" s="421">
        <f>IF(C31="","",((M31/10000)*V31*X31)*AD31)</f>
        <v>0</v>
      </c>
      <c r="O31" s="13"/>
      <c r="P31" s="14"/>
      <c r="Q31" s="25"/>
      <c r="R31" s="733"/>
      <c r="S31" s="25"/>
      <c r="T31" s="834" t="str">
        <f>IF(C31="","",VLOOKUP(D31,'9. All Habitats + Multipliers'!$C$4:$K$102,5,FALSE))</f>
        <v>Medium</v>
      </c>
      <c r="U31" s="835"/>
      <c r="V31" s="99">
        <f>IF(T31="","",VLOOKUP(T31,'11. Lists'!$B$47:$D$49,2,FALSE))</f>
        <v>4</v>
      </c>
      <c r="W31" s="349"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52">
        <f>IF(D31="","",((J31/10000)*V31*X31)*(AD31))</f>
        <v>0</v>
      </c>
      <c r="AF31" s="101">
        <f>IF(D31="","",((K31/10000)*V31*X31)*(AD31))</f>
        <v>0</v>
      </c>
      <c r="AG31" s="102">
        <f t="shared" si="5"/>
        <v>0</v>
      </c>
      <c r="AH31" s="520" t="str">
        <f>IF(T31="","",VLOOKUP(T31,'11. Lists'!$B$47:$D$49,3,FALSE))</f>
        <v>Same broad habitat or a higher distinctiveness habitat required</v>
      </c>
      <c r="AI31" s="553"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 thickBot="1">
      <c r="D32" s="89"/>
      <c r="E32" s="103"/>
      <c r="F32" s="103"/>
      <c r="G32" s="103"/>
      <c r="H32" s="507" t="s">
        <v>105</v>
      </c>
      <c r="I32" s="330">
        <f>SUMIFS(I11:I30,D11:D30,"&lt;&gt;"&amp;'11. Lists'!Q10,D11:D30,"&lt;&gt;"&amp;'11. Lists'!Q11,D11:D30,"&lt;&gt;"&amp;'11. Lists'!I4,D11:D30,"&lt;&gt;"&amp;'11. Lists'!I2,D11:D30,"&lt;&gt;"&amp;'11. Lists'!I3)</f>
        <v>0</v>
      </c>
      <c r="J32" s="331">
        <f>SUMIFS(J11:J30,D11:D30,"&lt;&gt;"&amp;'11. Lists'!Q10,D11:D30,"&lt;&gt;"&amp;'11. Lists'!Q11,D11:D30,"&lt;&gt;"&amp;'11. Lists'!I4,D11:D30,"&lt;&gt;"&amp;'11. Lists'!I2,D11:D30,"&lt;&gt;"&amp;'11. Lists'!I3)</f>
        <v>0</v>
      </c>
      <c r="K32" s="332">
        <f>SUMIFS(K11:K30,D11:D30,"&lt;&gt;"&amp;'11. Lists'!Q10,D11:D30,"&lt;&gt;"&amp;'11. Lists'!Q11,D11:D30,"&lt;&gt;"&amp;'11. Lists'!I4,D11:D30,"&lt;&gt;"&amp;'11. Lists'!I2,D11:D30,"&lt;&gt;"&amp;'11. Lists'!I3)</f>
        <v>0</v>
      </c>
      <c r="L32" s="283">
        <f>SUM(L11:L31)</f>
        <v>0</v>
      </c>
      <c r="M32" s="323">
        <f>SUMIFS(M11:M30,D11:D30,"&lt;&gt;"&amp;'11. Lists'!Q10,D11:D30,"&lt;&gt;"&amp;'11. Lists'!Q11,D11:D30,"&lt;&gt;"&amp;'11. Lists'!I4,D11:D30,"&lt;&gt;"&amp;'11. Lists'!I2,D11:D30,"&lt;&gt;"&amp;'11. Lists'!I3)</f>
        <v>0</v>
      </c>
      <c r="N32" s="284">
        <f>SUM(N11:N31)</f>
        <v>0</v>
      </c>
      <c r="R32" s="733"/>
    </row>
    <row r="33" spans="2:34" s="25" customFormat="1">
      <c r="D33" s="89"/>
      <c r="E33" s="103"/>
      <c r="F33" s="103"/>
      <c r="G33" s="103"/>
      <c r="H33" s="285" t="s">
        <v>106</v>
      </c>
      <c r="I33" s="781"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1"/>
      <c r="K33" s="781"/>
      <c r="L33" s="781"/>
      <c r="M33" s="781"/>
      <c r="N33" s="782"/>
      <c r="O33" s="161">
        <f>IFERROR(FIND("Error",I33),0)</f>
        <v>0</v>
      </c>
      <c r="R33" s="104"/>
    </row>
    <row r="34" spans="2:34" s="25" customFormat="1">
      <c r="D34" s="89"/>
      <c r="E34" s="103"/>
      <c r="F34" s="103"/>
      <c r="G34" s="103"/>
      <c r="H34" s="286" t="s">
        <v>107</v>
      </c>
      <c r="I34" s="783" t="str">
        <f>IF(I32&lt;J32+K32,"Error - Areas Retained and Enhanced Exceed Total Area ▲","Areas Acceptable ✓")</f>
        <v>Areas Acceptable ✓</v>
      </c>
      <c r="J34" s="783"/>
      <c r="K34" s="783"/>
      <c r="L34" s="783"/>
      <c r="M34" s="783"/>
      <c r="N34" s="784"/>
      <c r="O34" s="161">
        <f>IFERROR(FIND("Error",I34),0)</f>
        <v>0</v>
      </c>
      <c r="R34" s="104"/>
    </row>
    <row r="35" spans="2:34" s="25" customFormat="1" ht="15" thickBot="1">
      <c r="D35" s="89"/>
      <c r="E35" s="103"/>
      <c r="F35" s="103"/>
      <c r="G35" s="103"/>
      <c r="H35" s="276" t="s">
        <v>108</v>
      </c>
      <c r="I35" s="793" t="str">
        <f>IF(I32=0,"Areas Acceptable ✓",IF(I32&lt;&gt;'3. Desktop Assessment'!C7,"Error - Areas Entered Does Not Match Stated Site Area ▲","Areas Acceptable ✓"))</f>
        <v>Areas Acceptable ✓</v>
      </c>
      <c r="J35" s="793"/>
      <c r="K35" s="793"/>
      <c r="L35" s="793"/>
      <c r="M35" s="793"/>
      <c r="N35" s="794"/>
      <c r="O35" s="161">
        <f>IFERROR(FIND("Error",I35),0)</f>
        <v>0</v>
      </c>
      <c r="R35" s="733" t="s">
        <v>64</v>
      </c>
    </row>
    <row r="36" spans="2:34" s="25" customFormat="1" ht="21">
      <c r="B36" s="57" t="s">
        <v>109</v>
      </c>
      <c r="D36" s="88"/>
      <c r="E36" s="103"/>
      <c r="F36" s="103"/>
      <c r="G36" s="103"/>
      <c r="I36" s="26"/>
      <c r="O36" s="161">
        <f>COUNTIF(L11:N30,"*"&amp;"error"&amp;"*")</f>
        <v>0</v>
      </c>
      <c r="R36" s="733"/>
    </row>
    <row r="37" spans="2:34" s="25" customFormat="1" ht="15.75" customHeight="1" thickBot="1">
      <c r="R37" s="733"/>
    </row>
    <row r="38" spans="2:34" s="25" customFormat="1" ht="16.2" customHeight="1">
      <c r="B38" s="711" t="s">
        <v>58</v>
      </c>
      <c r="C38" s="710"/>
      <c r="D38" s="760"/>
      <c r="E38" s="700" t="s">
        <v>110</v>
      </c>
      <c r="F38" s="701"/>
      <c r="G38" s="702"/>
      <c r="H38" s="701" t="s">
        <v>111</v>
      </c>
      <c r="I38" s="646" t="s">
        <v>112</v>
      </c>
      <c r="J38" s="774"/>
      <c r="K38" s="647"/>
      <c r="L38" s="759" t="s">
        <v>113</v>
      </c>
      <c r="M38" s="710"/>
      <c r="N38" s="760"/>
      <c r="O38" s="700" t="s">
        <v>77</v>
      </c>
      <c r="P38" s="702"/>
      <c r="R38" s="733"/>
      <c r="T38" s="676" t="s">
        <v>78</v>
      </c>
      <c r="U38" s="677"/>
      <c r="V38" s="678"/>
      <c r="W38" s="791" t="s">
        <v>79</v>
      </c>
      <c r="X38" s="678"/>
      <c r="Y38" s="792"/>
      <c r="Z38" s="792"/>
      <c r="AA38" s="792"/>
      <c r="AB38" s="676" t="s">
        <v>80</v>
      </c>
      <c r="AC38" s="677"/>
      <c r="AD38" s="678"/>
      <c r="AE38" s="676" t="s">
        <v>114</v>
      </c>
      <c r="AF38" s="678"/>
      <c r="AG38" s="676" t="s">
        <v>115</v>
      </c>
      <c r="AH38" s="678"/>
    </row>
    <row r="39" spans="2:34" s="25" customFormat="1" ht="31.8" thickBot="1">
      <c r="B39" s="659"/>
      <c r="C39" s="201" t="s">
        <v>84</v>
      </c>
      <c r="D39" s="202" t="s">
        <v>116</v>
      </c>
      <c r="E39" s="86" t="s">
        <v>117</v>
      </c>
      <c r="F39" s="662" t="s">
        <v>118</v>
      </c>
      <c r="G39" s="671"/>
      <c r="H39" s="660"/>
      <c r="I39" s="648"/>
      <c r="J39" s="775"/>
      <c r="K39" s="649"/>
      <c r="L39" s="661"/>
      <c r="M39" s="761"/>
      <c r="N39" s="662"/>
      <c r="O39" s="86" t="s">
        <v>92</v>
      </c>
      <c r="P39" s="90" t="s">
        <v>93</v>
      </c>
      <c r="R39" s="733"/>
      <c r="T39" s="777" t="s">
        <v>94</v>
      </c>
      <c r="U39" s="778"/>
      <c r="V39" s="92" t="s">
        <v>95</v>
      </c>
      <c r="W39" s="338" t="s">
        <v>96</v>
      </c>
      <c r="X39" s="92" t="s">
        <v>95</v>
      </c>
      <c r="Y39" s="350"/>
      <c r="Z39" s="350"/>
      <c r="AA39" s="350"/>
      <c r="AB39" s="91" t="s">
        <v>80</v>
      </c>
      <c r="AC39" s="49" t="s">
        <v>80</v>
      </c>
      <c r="AD39" s="92" t="s">
        <v>97</v>
      </c>
      <c r="AE39" s="91" t="s">
        <v>119</v>
      </c>
      <c r="AF39" s="92" t="s">
        <v>120</v>
      </c>
      <c r="AG39" s="91" t="s">
        <v>121</v>
      </c>
      <c r="AH39" s="92" t="s">
        <v>122</v>
      </c>
    </row>
    <row r="40" spans="2:34" s="25" customFormat="1" ht="15.6">
      <c r="B40" s="267">
        <v>1</v>
      </c>
      <c r="C40" s="76"/>
      <c r="D40" s="73"/>
      <c r="E40" s="346" t="str">
        <f>IF(D40="","",VLOOKUP(D40,'10. Condition and Temporal'!$B$6:$D$103,3,FALSE))</f>
        <v/>
      </c>
      <c r="F40" s="714"/>
      <c r="G40" s="715"/>
      <c r="H40" s="72"/>
      <c r="I40" s="716"/>
      <c r="J40" s="717"/>
      <c r="K40" s="718"/>
      <c r="L40" s="725" t="str">
        <f>IF(C40="","",IFERROR(IF(I40="","",((I40/10000)*(V40*X40))*(AH40*AF40)*AD40),"This intervention is not permitted within the SSM ▲"))</f>
        <v/>
      </c>
      <c r="M40" s="689"/>
      <c r="N40" s="726"/>
      <c r="O40" s="2"/>
      <c r="P40" s="1"/>
      <c r="Q40" s="106"/>
      <c r="R40" s="733"/>
      <c r="T40" s="779" t="str">
        <f>IF(C40="","",VLOOKUP(D40,'9. All Habitats + Multipliers'!$C$4:$K$102,5,FALSE))</f>
        <v/>
      </c>
      <c r="U40" s="780"/>
      <c r="V40" s="94" t="str">
        <f>IF(T40="","",VLOOKUP(T40,'11. Lists'!$B$47:$D$49,2,FALSE))</f>
        <v/>
      </c>
      <c r="W40" s="188" t="str">
        <f>IF(F40="","",F40)</f>
        <v/>
      </c>
      <c r="X40" s="94" t="str">
        <f>IF(W40="","",VLOOKUP(W40,'11. Lists'!$F$47:$G$51,2,FALSE))</f>
        <v/>
      </c>
      <c r="Y40" s="48"/>
      <c r="Z40" s="48"/>
      <c r="AA40" s="48"/>
      <c r="AB40" s="93" t="str">
        <f>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15.6">
      <c r="B41" s="268">
        <v>2</v>
      </c>
      <c r="C41" s="77"/>
      <c r="D41" s="73"/>
      <c r="E41" s="346" t="str">
        <f>IF(D41="","",VLOOKUP(D41,'10. Condition and Temporal'!$B$6:$D$103,3,FALSE))</f>
        <v/>
      </c>
      <c r="F41" s="694"/>
      <c r="G41" s="695"/>
      <c r="H41" s="71"/>
      <c r="I41" s="716"/>
      <c r="J41" s="717"/>
      <c r="K41" s="718"/>
      <c r="L41" s="725" t="str">
        <f t="shared" ref="L41:L59" si="7">IF(C41="","",IFERROR(IF(I41="","",((I41/10000)*(V41*X41))*(AH41*AF41)*AD41),"This intervention is not permitted within the SSM ▲"))</f>
        <v/>
      </c>
      <c r="M41" s="689"/>
      <c r="N41" s="726"/>
      <c r="O41" s="61"/>
      <c r="P41" s="12"/>
      <c r="Q41" s="106"/>
      <c r="R41" s="733"/>
      <c r="T41" s="779" t="str">
        <f>IF(C41="","",VLOOKUP(D41,'9. All Habitats + Multipliers'!$C$4:$K$102,5,FALSE))</f>
        <v/>
      </c>
      <c r="U41" s="780"/>
      <c r="V41" s="94" t="str">
        <f>IF(T41="","",VLOOKUP(T41,'11. Lists'!$B$47:$D$49,2,FALSE))</f>
        <v/>
      </c>
      <c r="W41" s="188" t="str">
        <f>IF(F41="","",F41)</f>
        <v/>
      </c>
      <c r="X41" s="94" t="str">
        <f>IF(W41="","",VLOOKUP(W41,'11. Lists'!$F$47:$G$51,2,FALSE))</f>
        <v/>
      </c>
      <c r="Y41" s="48"/>
      <c r="Z41" s="48"/>
      <c r="AA41" s="48"/>
      <c r="AB41" s="93" t="str">
        <f t="shared" ref="AB41:AB60" si="8">IF(H41="","",H41)</f>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15.6">
      <c r="B42" s="268">
        <v>3</v>
      </c>
      <c r="C42" s="77"/>
      <c r="D42" s="73"/>
      <c r="E42" s="346" t="str">
        <f>IF(D42="","",VLOOKUP(D42,'10. Condition and Temporal'!$B$6:$D$103,3,FALSE))</f>
        <v/>
      </c>
      <c r="F42" s="694"/>
      <c r="G42" s="695"/>
      <c r="H42" s="71"/>
      <c r="I42" s="716"/>
      <c r="J42" s="717"/>
      <c r="K42" s="718"/>
      <c r="L42" s="725" t="str">
        <f t="shared" si="7"/>
        <v/>
      </c>
      <c r="M42" s="689"/>
      <c r="N42" s="726"/>
      <c r="O42" s="61"/>
      <c r="P42" s="12"/>
      <c r="Q42" s="106"/>
      <c r="R42" s="733"/>
      <c r="T42" s="779" t="str">
        <f>IF(C42="","",VLOOKUP(D42,'9. All Habitats + Multipliers'!$C$4:$K$102,5,FALSE))</f>
        <v/>
      </c>
      <c r="U42" s="780"/>
      <c r="V42" s="94" t="str">
        <f>IF(T42="","",VLOOKUP(T42,'11. Lists'!$B$47:$D$49,2,FALSE))</f>
        <v/>
      </c>
      <c r="W42" s="188"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6">
      <c r="B43" s="268">
        <v>4</v>
      </c>
      <c r="C43" s="77"/>
      <c r="D43" s="73"/>
      <c r="E43" s="346" t="str">
        <f>IF(D43="","",VLOOKUP(D43,'10. Condition and Temporal'!$B$6:$D$103,3,FALSE))</f>
        <v/>
      </c>
      <c r="F43" s="694"/>
      <c r="G43" s="695"/>
      <c r="H43" s="71"/>
      <c r="I43" s="716"/>
      <c r="J43" s="717"/>
      <c r="K43" s="718"/>
      <c r="L43" s="725" t="str">
        <f t="shared" si="7"/>
        <v/>
      </c>
      <c r="M43" s="689"/>
      <c r="N43" s="726"/>
      <c r="O43" s="61"/>
      <c r="P43" s="12"/>
      <c r="Q43" s="106"/>
      <c r="R43" s="733"/>
      <c r="T43" s="779" t="str">
        <f>IF(C43="","",VLOOKUP(D43,'9. All Habitats + Multipliers'!$C$4:$K$102,5,FALSE))</f>
        <v/>
      </c>
      <c r="U43" s="780"/>
      <c r="V43" s="94" t="str">
        <f>IF(T43="","",VLOOKUP(T43,'11. Lists'!$B$47:$D$49,2,FALSE))</f>
        <v/>
      </c>
      <c r="W43" s="188"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6">
      <c r="B44" s="268">
        <v>5</v>
      </c>
      <c r="C44" s="77"/>
      <c r="D44" s="73"/>
      <c r="E44" s="346" t="str">
        <f>IF(D44="","",VLOOKUP(D44,'10. Condition and Temporal'!$B$6:$D$103,3,FALSE))</f>
        <v/>
      </c>
      <c r="F44" s="694"/>
      <c r="G44" s="695"/>
      <c r="H44" s="71"/>
      <c r="I44" s="716"/>
      <c r="J44" s="717"/>
      <c r="K44" s="718"/>
      <c r="L44" s="725" t="str">
        <f t="shared" si="7"/>
        <v/>
      </c>
      <c r="M44" s="689"/>
      <c r="N44" s="726"/>
      <c r="O44" s="61"/>
      <c r="P44" s="12"/>
      <c r="R44" s="733"/>
      <c r="T44" s="779" t="str">
        <f>IF(C44="","",VLOOKUP(D44,'9. All Habitats + Multipliers'!$C$4:$K$102,5,FALSE))</f>
        <v/>
      </c>
      <c r="U44" s="780"/>
      <c r="V44" s="94" t="str">
        <f>IF(T44="","",VLOOKUP(T44,'11. Lists'!$B$47:$D$49,2,FALSE))</f>
        <v/>
      </c>
      <c r="W44" s="188"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6">
      <c r="B45" s="268">
        <v>6</v>
      </c>
      <c r="C45" s="77"/>
      <c r="D45" s="73"/>
      <c r="E45" s="346" t="str">
        <f>IF(D45="","",VLOOKUP(D45,'10. Condition and Temporal'!$B$6:$D$103,3,FALSE))</f>
        <v/>
      </c>
      <c r="F45" s="694"/>
      <c r="G45" s="695"/>
      <c r="H45" s="71"/>
      <c r="I45" s="716"/>
      <c r="J45" s="717"/>
      <c r="K45" s="718"/>
      <c r="L45" s="725" t="str">
        <f t="shared" si="7"/>
        <v/>
      </c>
      <c r="M45" s="689"/>
      <c r="N45" s="726"/>
      <c r="O45" s="61"/>
      <c r="P45" s="12"/>
      <c r="R45" s="733"/>
      <c r="T45" s="779" t="str">
        <f>IF(C45="","",VLOOKUP(D45,'9. All Habitats + Multipliers'!$C$4:$K$102,5,FALSE))</f>
        <v/>
      </c>
      <c r="U45" s="780"/>
      <c r="V45" s="94" t="str">
        <f>IF(T45="","",VLOOKUP(T45,'11. Lists'!$B$47:$D$49,2,FALSE))</f>
        <v/>
      </c>
      <c r="W45" s="188"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6">
      <c r="B46" s="268">
        <v>7</v>
      </c>
      <c r="C46" s="77"/>
      <c r="D46" s="73"/>
      <c r="E46" s="346" t="str">
        <f>IF(D46="","",VLOOKUP(D46,'10. Condition and Temporal'!$B$6:$D$103,3,FALSE))</f>
        <v/>
      </c>
      <c r="F46" s="694"/>
      <c r="G46" s="695"/>
      <c r="H46" s="71"/>
      <c r="I46" s="716"/>
      <c r="J46" s="717"/>
      <c r="K46" s="718"/>
      <c r="L46" s="725" t="str">
        <f t="shared" si="7"/>
        <v/>
      </c>
      <c r="M46" s="689"/>
      <c r="N46" s="726"/>
      <c r="O46" s="61"/>
      <c r="P46" s="12"/>
      <c r="R46" s="733"/>
      <c r="T46" s="779" t="str">
        <f>IF(C46="","",VLOOKUP(D46,'9. All Habitats + Multipliers'!$C$4:$K$102,5,FALSE))</f>
        <v/>
      </c>
      <c r="U46" s="780"/>
      <c r="V46" s="94" t="str">
        <f>IF(T46="","",VLOOKUP(T46,'11. Lists'!$B$47:$D$49,2,FALSE))</f>
        <v/>
      </c>
      <c r="W46" s="188"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6">
      <c r="B47" s="268">
        <v>8</v>
      </c>
      <c r="C47" s="77"/>
      <c r="D47" s="73"/>
      <c r="E47" s="346" t="str">
        <f>IF(D47="","",VLOOKUP(D47,'10. Condition and Temporal'!$B$6:$D$103,3,FALSE))</f>
        <v/>
      </c>
      <c r="F47" s="694"/>
      <c r="G47" s="695"/>
      <c r="H47" s="71"/>
      <c r="I47" s="716"/>
      <c r="J47" s="717"/>
      <c r="K47" s="718"/>
      <c r="L47" s="725" t="str">
        <f t="shared" si="7"/>
        <v/>
      </c>
      <c r="M47" s="689"/>
      <c r="N47" s="726"/>
      <c r="O47" s="61"/>
      <c r="P47" s="12"/>
      <c r="R47" s="733"/>
      <c r="T47" s="779" t="str">
        <f>IF(C47="","",VLOOKUP(D47,'9. All Habitats + Multipliers'!$C$4:$K$102,5,FALSE))</f>
        <v/>
      </c>
      <c r="U47" s="780"/>
      <c r="V47" s="94" t="str">
        <f>IF(T47="","",VLOOKUP(T47,'11. Lists'!$B$47:$D$49,2,FALSE))</f>
        <v/>
      </c>
      <c r="W47" s="188"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6">
      <c r="B48" s="268">
        <v>9</v>
      </c>
      <c r="C48" s="77"/>
      <c r="D48" s="73"/>
      <c r="E48" s="346" t="str">
        <f>IF(D48="","",VLOOKUP(D48,'10. Condition and Temporal'!$B$6:$D$103,3,FALSE))</f>
        <v/>
      </c>
      <c r="F48" s="694"/>
      <c r="G48" s="695"/>
      <c r="H48" s="71"/>
      <c r="I48" s="716"/>
      <c r="J48" s="717"/>
      <c r="K48" s="718"/>
      <c r="L48" s="725" t="str">
        <f t="shared" si="7"/>
        <v/>
      </c>
      <c r="M48" s="689"/>
      <c r="N48" s="726"/>
      <c r="O48" s="61"/>
      <c r="P48" s="12"/>
      <c r="R48" s="733"/>
      <c r="T48" s="779" t="str">
        <f>IF(C48="","",VLOOKUP(D48,'9. All Habitats + Multipliers'!$C$4:$K$102,5,FALSE))</f>
        <v/>
      </c>
      <c r="U48" s="780"/>
      <c r="V48" s="94" t="str">
        <f>IF(T48="","",VLOOKUP(T48,'11. Lists'!$B$47:$D$49,2,FALSE))</f>
        <v/>
      </c>
      <c r="W48" s="188"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6">
      <c r="B49" s="268">
        <v>10</v>
      </c>
      <c r="C49" s="78"/>
      <c r="D49" s="73"/>
      <c r="E49" s="346" t="str">
        <f>IF(D49="","",VLOOKUP(D49,'10. Condition and Temporal'!$B$6:$D$103,3,FALSE))</f>
        <v/>
      </c>
      <c r="F49" s="694"/>
      <c r="G49" s="695"/>
      <c r="H49" s="71"/>
      <c r="I49" s="716"/>
      <c r="J49" s="717"/>
      <c r="K49" s="718"/>
      <c r="L49" s="725" t="str">
        <f t="shared" si="7"/>
        <v/>
      </c>
      <c r="M49" s="689"/>
      <c r="N49" s="726"/>
      <c r="O49" s="61"/>
      <c r="P49" s="12"/>
      <c r="R49" s="733"/>
      <c r="T49" s="779" t="str">
        <f>IF(C49="","",VLOOKUP(D49,'9. All Habitats + Multipliers'!$C$4:$K$102,5,FALSE))</f>
        <v/>
      </c>
      <c r="U49" s="780"/>
      <c r="V49" s="94" t="str">
        <f>IF(T49="","",VLOOKUP(T49,'11. Lists'!$B$47:$D$49,2,FALSE))</f>
        <v/>
      </c>
      <c r="W49" s="188"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6">
      <c r="B50" s="268">
        <v>11</v>
      </c>
      <c r="C50" s="78"/>
      <c r="D50" s="73"/>
      <c r="E50" s="346" t="str">
        <f>IF(D50="","",VLOOKUP(D50,'10. Condition and Temporal'!$B$6:$D$103,3,FALSE))</f>
        <v/>
      </c>
      <c r="F50" s="694"/>
      <c r="G50" s="695"/>
      <c r="H50" s="71"/>
      <c r="I50" s="716"/>
      <c r="J50" s="717"/>
      <c r="K50" s="718"/>
      <c r="L50" s="725" t="str">
        <f t="shared" si="7"/>
        <v/>
      </c>
      <c r="M50" s="689"/>
      <c r="N50" s="726"/>
      <c r="O50" s="61"/>
      <c r="P50" s="12"/>
      <c r="R50" s="733"/>
      <c r="T50" s="779" t="str">
        <f>IF(C50="","",VLOOKUP(D50,'9. All Habitats + Multipliers'!$C$4:$K$102,5,FALSE))</f>
        <v/>
      </c>
      <c r="U50" s="780"/>
      <c r="V50" s="94" t="str">
        <f>IF(T50="","",VLOOKUP(T50,'11. Lists'!$B$47:$D$49,2,FALSE))</f>
        <v/>
      </c>
      <c r="W50" s="188"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6">
      <c r="B51" s="268">
        <v>12</v>
      </c>
      <c r="C51" s="78"/>
      <c r="D51" s="73"/>
      <c r="E51" s="346" t="str">
        <f>IF(D51="","",VLOOKUP(D51,'10. Condition and Temporal'!$B$6:$D$103,3,FALSE))</f>
        <v/>
      </c>
      <c r="F51" s="694"/>
      <c r="G51" s="695"/>
      <c r="H51" s="71"/>
      <c r="I51" s="716"/>
      <c r="J51" s="717"/>
      <c r="K51" s="718"/>
      <c r="L51" s="725" t="str">
        <f t="shared" si="7"/>
        <v/>
      </c>
      <c r="M51" s="689"/>
      <c r="N51" s="726"/>
      <c r="O51" s="61"/>
      <c r="P51" s="12"/>
      <c r="R51" s="733"/>
      <c r="T51" s="779" t="str">
        <f>IF(C51="","",VLOOKUP(D51,'9. All Habitats + Multipliers'!$C$4:$K$102,5,FALSE))</f>
        <v/>
      </c>
      <c r="U51" s="780"/>
      <c r="V51" s="94" t="str">
        <f>IF(T51="","",VLOOKUP(T51,'11. Lists'!$B$47:$D$49,2,FALSE))</f>
        <v/>
      </c>
      <c r="W51" s="188"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6">
      <c r="B52" s="268">
        <v>13</v>
      </c>
      <c r="C52" s="78"/>
      <c r="D52" s="73"/>
      <c r="E52" s="346" t="str">
        <f>IF(D52="","",VLOOKUP(D52,'10. Condition and Temporal'!$B$6:$D$103,3,FALSE))</f>
        <v/>
      </c>
      <c r="F52" s="694"/>
      <c r="G52" s="695"/>
      <c r="H52" s="71"/>
      <c r="I52" s="716"/>
      <c r="J52" s="717"/>
      <c r="K52" s="718"/>
      <c r="L52" s="725" t="str">
        <f t="shared" si="7"/>
        <v/>
      </c>
      <c r="M52" s="689"/>
      <c r="N52" s="726"/>
      <c r="O52" s="61"/>
      <c r="P52" s="12"/>
      <c r="R52" s="733"/>
      <c r="T52" s="779" t="str">
        <f>IF(C52="","",VLOOKUP(D52,'9. All Habitats + Multipliers'!$C$4:$K$102,5,FALSE))</f>
        <v/>
      </c>
      <c r="U52" s="780"/>
      <c r="V52" s="94" t="str">
        <f>IF(T52="","",VLOOKUP(T52,'11. Lists'!$B$47:$D$49,2,FALSE))</f>
        <v/>
      </c>
      <c r="W52" s="188"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6">
      <c r="B53" s="268">
        <v>14</v>
      </c>
      <c r="C53" s="78"/>
      <c r="D53" s="73"/>
      <c r="E53" s="346" t="str">
        <f>IF(D53="","",VLOOKUP(D53,'10. Condition and Temporal'!$B$6:$D$103,3,FALSE))</f>
        <v/>
      </c>
      <c r="F53" s="694"/>
      <c r="G53" s="695"/>
      <c r="H53" s="71"/>
      <c r="I53" s="716"/>
      <c r="J53" s="717"/>
      <c r="K53" s="718"/>
      <c r="L53" s="725" t="str">
        <f t="shared" si="7"/>
        <v/>
      </c>
      <c r="M53" s="689"/>
      <c r="N53" s="726"/>
      <c r="O53" s="61"/>
      <c r="P53" s="12"/>
      <c r="R53" s="733"/>
      <c r="T53" s="779" t="str">
        <f>IF(C53="","",VLOOKUP(D53,'9. All Habitats + Multipliers'!$C$4:$K$102,5,FALSE))</f>
        <v/>
      </c>
      <c r="U53" s="780"/>
      <c r="V53" s="94" t="str">
        <f>IF(T53="","",VLOOKUP(T53,'11. Lists'!$B$47:$D$49,2,FALSE))</f>
        <v/>
      </c>
      <c r="W53" s="188"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6">
      <c r="B54" s="268">
        <v>15</v>
      </c>
      <c r="C54" s="78"/>
      <c r="D54" s="73"/>
      <c r="E54" s="346" t="str">
        <f>IF(D54="","",VLOOKUP(D54,'10. Condition and Temporal'!$B$6:$D$103,3,FALSE))</f>
        <v/>
      </c>
      <c r="F54" s="694"/>
      <c r="G54" s="695"/>
      <c r="H54" s="71"/>
      <c r="I54" s="716"/>
      <c r="J54" s="717"/>
      <c r="K54" s="718"/>
      <c r="L54" s="725" t="str">
        <f t="shared" si="7"/>
        <v/>
      </c>
      <c r="M54" s="689"/>
      <c r="N54" s="726"/>
      <c r="O54" s="61"/>
      <c r="P54" s="12"/>
      <c r="R54" s="733"/>
      <c r="T54" s="779" t="str">
        <f>IF(C54="","",VLOOKUP(D54,'9. All Habitats + Multipliers'!$C$4:$K$102,5,FALSE))</f>
        <v/>
      </c>
      <c r="U54" s="780"/>
      <c r="V54" s="94" t="str">
        <f>IF(T54="","",VLOOKUP(T54,'11. Lists'!$B$47:$D$49,2,FALSE))</f>
        <v/>
      </c>
      <c r="W54" s="188"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6">
      <c r="B55" s="268">
        <v>16</v>
      </c>
      <c r="C55" s="78"/>
      <c r="D55" s="73"/>
      <c r="E55" s="346" t="str">
        <f>IF(D55="","",VLOOKUP(D55,'10. Condition and Temporal'!$B$6:$D$103,3,FALSE))</f>
        <v/>
      </c>
      <c r="F55" s="694"/>
      <c r="G55" s="695"/>
      <c r="H55" s="71"/>
      <c r="I55" s="716"/>
      <c r="J55" s="717"/>
      <c r="K55" s="718"/>
      <c r="L55" s="725" t="str">
        <f t="shared" si="7"/>
        <v/>
      </c>
      <c r="M55" s="689"/>
      <c r="N55" s="726"/>
      <c r="O55" s="61"/>
      <c r="P55" s="12"/>
      <c r="R55" s="733"/>
      <c r="T55" s="779" t="str">
        <f>IF(C55="","",VLOOKUP(D55,'9. All Habitats + Multipliers'!$C$4:$K$102,5,FALSE))</f>
        <v/>
      </c>
      <c r="U55" s="780"/>
      <c r="V55" s="94" t="str">
        <f>IF(T55="","",VLOOKUP(T55,'11. Lists'!$B$47:$D$49,2,FALSE))</f>
        <v/>
      </c>
      <c r="W55" s="188"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6">
      <c r="B56" s="268">
        <v>17</v>
      </c>
      <c r="C56" s="78"/>
      <c r="D56" s="73"/>
      <c r="E56" s="346" t="str">
        <f>IF(D56="","",VLOOKUP(D56,'10. Condition and Temporal'!$B$6:$D$103,3,FALSE))</f>
        <v/>
      </c>
      <c r="F56" s="694"/>
      <c r="G56" s="695"/>
      <c r="H56" s="71"/>
      <c r="I56" s="716"/>
      <c r="J56" s="717"/>
      <c r="K56" s="718"/>
      <c r="L56" s="725" t="str">
        <f t="shared" si="7"/>
        <v/>
      </c>
      <c r="M56" s="689"/>
      <c r="N56" s="726"/>
      <c r="O56" s="61"/>
      <c r="P56" s="12"/>
      <c r="R56" s="733"/>
      <c r="T56" s="779" t="str">
        <f>IF(C56="","",VLOOKUP(D56,'9. All Habitats + Multipliers'!$C$4:$K$102,5,FALSE))</f>
        <v/>
      </c>
      <c r="U56" s="780"/>
      <c r="V56" s="94" t="str">
        <f>IF(T56="","",VLOOKUP(T56,'11. Lists'!$B$47:$D$49,2,FALSE))</f>
        <v/>
      </c>
      <c r="W56" s="188"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6">
      <c r="B57" s="268">
        <v>18</v>
      </c>
      <c r="C57" s="78"/>
      <c r="D57" s="73"/>
      <c r="E57" s="346" t="str">
        <f>IF(D57="","",VLOOKUP(D57,'10. Condition and Temporal'!$B$6:$D$103,3,FALSE))</f>
        <v/>
      </c>
      <c r="F57" s="694"/>
      <c r="G57" s="695"/>
      <c r="H57" s="71"/>
      <c r="I57" s="716"/>
      <c r="J57" s="717"/>
      <c r="K57" s="718"/>
      <c r="L57" s="725" t="str">
        <f t="shared" si="7"/>
        <v/>
      </c>
      <c r="M57" s="689"/>
      <c r="N57" s="726"/>
      <c r="O57" s="61"/>
      <c r="P57" s="12"/>
      <c r="R57" s="733"/>
      <c r="T57" s="779" t="str">
        <f>IF(C57="","",VLOOKUP(D57,'9. All Habitats + Multipliers'!$C$4:$K$102,5,FALSE))</f>
        <v/>
      </c>
      <c r="U57" s="780"/>
      <c r="V57" s="94" t="str">
        <f>IF(T57="","",VLOOKUP(T57,'11. Lists'!$B$47:$D$49,2,FALSE))</f>
        <v/>
      </c>
      <c r="W57" s="188"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6">
      <c r="B58" s="268">
        <v>19</v>
      </c>
      <c r="C58" s="78"/>
      <c r="D58" s="73"/>
      <c r="E58" s="346" t="str">
        <f>IF(D58="","",VLOOKUP(D58,'10. Condition and Temporal'!$B$6:$D$103,3,FALSE))</f>
        <v/>
      </c>
      <c r="F58" s="694"/>
      <c r="G58" s="695"/>
      <c r="H58" s="71"/>
      <c r="I58" s="716"/>
      <c r="J58" s="717"/>
      <c r="K58" s="718"/>
      <c r="L58" s="725" t="str">
        <f t="shared" si="7"/>
        <v/>
      </c>
      <c r="M58" s="689"/>
      <c r="N58" s="726"/>
      <c r="O58" s="61"/>
      <c r="P58" s="12"/>
      <c r="R58" s="733"/>
      <c r="T58" s="779" t="str">
        <f>IF(C58="","",VLOOKUP(D58,'9. All Habitats + Multipliers'!$C$4:$K$102,5,FALSE))</f>
        <v/>
      </c>
      <c r="U58" s="780"/>
      <c r="V58" s="94" t="str">
        <f>IF(T58="","",VLOOKUP(T58,'11. Lists'!$B$47:$D$49,2,FALSE))</f>
        <v/>
      </c>
      <c r="W58" s="188"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2" thickBot="1">
      <c r="B59" s="270">
        <v>20</v>
      </c>
      <c r="C59" s="78"/>
      <c r="D59" s="73"/>
      <c r="E59" s="346" t="str">
        <f>IF(D59="","",VLOOKUP(D59,'10. Condition and Temporal'!$B$6:$D$103,3,FALSE))</f>
        <v/>
      </c>
      <c r="F59" s="694"/>
      <c r="G59" s="695"/>
      <c r="H59" s="79"/>
      <c r="I59" s="716"/>
      <c r="J59" s="717"/>
      <c r="K59" s="718"/>
      <c r="L59" s="725" t="str">
        <f t="shared" si="7"/>
        <v/>
      </c>
      <c r="M59" s="689"/>
      <c r="N59" s="726"/>
      <c r="O59" s="22"/>
      <c r="P59" s="6"/>
      <c r="R59" s="733"/>
      <c r="T59" s="779" t="str">
        <f>IF(C59="","",VLOOKUP(D59,'9. All Habitats + Multipliers'!$C$4:$K$102,5,FALSE))</f>
        <v/>
      </c>
      <c r="U59" s="780"/>
      <c r="V59" s="94" t="str">
        <f>IF(T59="","",VLOOKUP(T59,'11. Lists'!$B$47:$D$49,2,FALSE))</f>
        <v/>
      </c>
      <c r="W59" s="188"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29.4" thickBot="1">
      <c r="B60" s="271" t="s">
        <v>101</v>
      </c>
      <c r="C60" s="97" t="s">
        <v>102</v>
      </c>
      <c r="D60" s="108" t="s">
        <v>103</v>
      </c>
      <c r="E60" s="109" t="s">
        <v>123</v>
      </c>
      <c r="F60" s="810" t="s">
        <v>123</v>
      </c>
      <c r="G60" s="704"/>
      <c r="H60" s="110" t="s">
        <v>124</v>
      </c>
      <c r="I60" s="785">
        <f>O99</f>
        <v>0</v>
      </c>
      <c r="J60" s="786"/>
      <c r="K60" s="787"/>
      <c r="L60" s="812">
        <f>IF(D60="","",((I60/10000)*(V60*X60))*(AH60*AF60)*AD60)</f>
        <v>0</v>
      </c>
      <c r="M60" s="813"/>
      <c r="N60" s="814"/>
      <c r="O60" s="38"/>
      <c r="P60" s="39"/>
      <c r="R60" s="733"/>
      <c r="T60" s="834" t="str">
        <f>IF(C60="","",VLOOKUP(D60,'9. All Habitats + Multipliers'!$C$4:$K$102,5,FALSE))</f>
        <v>Medium</v>
      </c>
      <c r="U60" s="835"/>
      <c r="V60" s="99">
        <f>IF(T60="","",VLOOKUP(T60,'11. Lists'!$B$47:$D$49,2,FALSE))</f>
        <v>4</v>
      </c>
      <c r="W60" s="349"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1">
        <f>IF(AE60="","",VLOOKUP(AE60,'11. Lists'!$I$47:$K$80,3,FALSE))</f>
        <v>0.38215316459999998</v>
      </c>
      <c r="AG60" s="98" t="str">
        <f>IF(D60="","",VLOOKUP(D60,'9. All Habitats + Multipliers'!$C$4:$K$102,7,FALSE))</f>
        <v>Low</v>
      </c>
      <c r="AH60" s="99">
        <f>IF(AG60="","",VLOOKUP(AG60,'11. Lists'!$J$35:$K$38,2,FALSE))</f>
        <v>1</v>
      </c>
    </row>
    <row r="61" spans="2:53" s="25" customFormat="1" ht="15" thickBot="1">
      <c r="H61" s="507" t="s">
        <v>105</v>
      </c>
      <c r="I61" s="727">
        <f>SUMIFS(I40:I59,D40:D59,"&lt;&gt;"&amp;'11. Lists'!Q10,D40:D59,"&lt;&gt;"&amp;'11. Lists'!Q11,D40:D59,"&lt;&gt;"&amp;'11. Lists'!I4,D40:D59,"&lt;&gt;"&amp;'11. Lists'!I2,D40:D59,"&lt;&gt;"&amp;'11. Lists'!I3)</f>
        <v>0</v>
      </c>
      <c r="J61" s="728"/>
      <c r="K61" s="729"/>
      <c r="L61" s="730">
        <f>SUM(L40:N60)</f>
        <v>0</v>
      </c>
      <c r="M61" s="731"/>
      <c r="N61" s="732"/>
      <c r="R61" s="733"/>
    </row>
    <row r="62" spans="2:53" s="25" customFormat="1" ht="15" thickBot="1">
      <c r="H62" s="272" t="s">
        <v>125</v>
      </c>
      <c r="I62" s="815" t="str">
        <f>IF(I61&lt;&gt;M32,"Error - Area of habitat creation must match area lost ▲","Areas Acceptable ✓")</f>
        <v>Areas Acceptable ✓</v>
      </c>
      <c r="J62" s="816"/>
      <c r="K62" s="816"/>
      <c r="L62" s="816"/>
      <c r="M62" s="816"/>
      <c r="N62" s="817"/>
      <c r="O62" s="161">
        <f>IFERROR(FIND("Error",I62),0)</f>
        <v>0</v>
      </c>
      <c r="R62" s="733"/>
    </row>
    <row r="63" spans="2:53" s="25" customFormat="1">
      <c r="I63" s="444">
        <f>SUM($I$40:$K$60)</f>
        <v>0</v>
      </c>
      <c r="R63" s="733"/>
      <c r="BA63" s="50" t="s">
        <v>126</v>
      </c>
    </row>
    <row r="64" spans="2:53" s="25" customFormat="1" ht="21">
      <c r="B64" s="57" t="s">
        <v>127</v>
      </c>
      <c r="D64" s="88"/>
      <c r="H64" s="26"/>
      <c r="R64" s="733"/>
      <c r="BA64" s="50" t="s">
        <v>128</v>
      </c>
    </row>
    <row r="65" spans="1:76" s="25" customFormat="1" ht="15" thickBot="1">
      <c r="A65" s="89"/>
      <c r="R65" s="733" t="s">
        <v>64</v>
      </c>
    </row>
    <row r="66" spans="1:76" s="25" customFormat="1" ht="16.2" customHeight="1" thickBot="1">
      <c r="A66" s="89"/>
      <c r="B66" s="825" t="s">
        <v>129</v>
      </c>
      <c r="C66" s="676" t="s">
        <v>130</v>
      </c>
      <c r="D66" s="678"/>
      <c r="E66" s="700" t="s">
        <v>131</v>
      </c>
      <c r="F66" s="710"/>
      <c r="G66" s="702"/>
      <c r="H66" s="719" t="s">
        <v>132</v>
      </c>
      <c r="I66" s="719" t="s">
        <v>133</v>
      </c>
      <c r="J66" s="721" t="s">
        <v>134</v>
      </c>
      <c r="K66" s="722"/>
      <c r="L66" s="676" t="s">
        <v>135</v>
      </c>
      <c r="M66" s="677" t="s">
        <v>136</v>
      </c>
      <c r="N66" s="678"/>
      <c r="O66" s="811" t="s">
        <v>77</v>
      </c>
      <c r="P66" s="679"/>
      <c r="R66" s="733"/>
      <c r="T66" s="839" t="s">
        <v>137</v>
      </c>
      <c r="U66" s="840"/>
      <c r="V66" s="840"/>
      <c r="W66" s="840"/>
      <c r="X66" s="840"/>
      <c r="Y66" s="840"/>
      <c r="Z66" s="840"/>
      <c r="AA66" s="840"/>
      <c r="AB66" s="840"/>
      <c r="AC66" s="840"/>
      <c r="AD66" s="841"/>
      <c r="AE66" s="719" t="s">
        <v>138</v>
      </c>
      <c r="AF66" s="839" t="s">
        <v>139</v>
      </c>
      <c r="AG66" s="840"/>
      <c r="AH66" s="840"/>
      <c r="AI66" s="840"/>
      <c r="AJ66" s="840"/>
      <c r="AK66" s="840"/>
      <c r="AL66" s="840"/>
      <c r="AM66" s="840"/>
      <c r="AN66" s="840"/>
      <c r="AO66" s="840"/>
      <c r="AP66" s="841"/>
      <c r="AQ66" s="842" t="s">
        <v>140</v>
      </c>
      <c r="AR66" s="839" t="s">
        <v>139</v>
      </c>
      <c r="AS66" s="840"/>
      <c r="AT66" s="840"/>
      <c r="AU66" s="840"/>
      <c r="AV66" s="840"/>
      <c r="AW66" s="840"/>
      <c r="AX66" s="840"/>
      <c r="AY66" s="468"/>
      <c r="BA66" s="158" t="s">
        <v>141</v>
      </c>
      <c r="BB66" s="189">
        <f>COUNTIF(BB68:BB87,"?*")</f>
        <v>0</v>
      </c>
      <c r="BC66" s="189">
        <f t="shared" ref="BC66:BU66" si="10">COUNTIF(BC68:BC87,"?*")</f>
        <v>0</v>
      </c>
      <c r="BD66" s="189">
        <f t="shared" si="10"/>
        <v>0</v>
      </c>
      <c r="BE66" s="189">
        <f t="shared" si="10"/>
        <v>0</v>
      </c>
      <c r="BF66" s="189">
        <f t="shared" si="10"/>
        <v>0</v>
      </c>
      <c r="BG66" s="189">
        <f t="shared" si="10"/>
        <v>0</v>
      </c>
      <c r="BH66" s="189">
        <f t="shared" si="10"/>
        <v>0</v>
      </c>
      <c r="BI66" s="189">
        <f t="shared" si="10"/>
        <v>0</v>
      </c>
      <c r="BJ66" s="189">
        <f t="shared" si="10"/>
        <v>0</v>
      </c>
      <c r="BK66" s="189">
        <f t="shared" si="10"/>
        <v>0</v>
      </c>
      <c r="BL66" s="189">
        <f t="shared" si="10"/>
        <v>0</v>
      </c>
      <c r="BM66" s="189">
        <f t="shared" si="10"/>
        <v>0</v>
      </c>
      <c r="BN66" s="189">
        <f t="shared" si="10"/>
        <v>0</v>
      </c>
      <c r="BO66" s="189">
        <f t="shared" si="10"/>
        <v>0</v>
      </c>
      <c r="BP66" s="189">
        <f t="shared" si="10"/>
        <v>0</v>
      </c>
      <c r="BQ66" s="189">
        <f t="shared" si="10"/>
        <v>0</v>
      </c>
      <c r="BR66" s="189">
        <f t="shared" si="10"/>
        <v>0</v>
      </c>
      <c r="BS66" s="189">
        <f t="shared" si="10"/>
        <v>0</v>
      </c>
      <c r="BT66" s="189">
        <f t="shared" si="10"/>
        <v>0</v>
      </c>
      <c r="BU66" s="189">
        <f t="shared" si="10"/>
        <v>0</v>
      </c>
    </row>
    <row r="67" spans="1:76" s="25" customFormat="1" ht="48.6" customHeight="1" thickBot="1">
      <c r="A67" s="89"/>
      <c r="B67" s="826"/>
      <c r="C67" s="215" t="s">
        <v>142</v>
      </c>
      <c r="D67" s="90" t="s">
        <v>143</v>
      </c>
      <c r="E67" s="86" t="s">
        <v>144</v>
      </c>
      <c r="F67" s="662" t="s">
        <v>145</v>
      </c>
      <c r="G67" s="671"/>
      <c r="H67" s="720"/>
      <c r="I67" s="720"/>
      <c r="J67" s="723"/>
      <c r="K67" s="724"/>
      <c r="L67" s="691"/>
      <c r="M67" s="692"/>
      <c r="N67" s="693"/>
      <c r="O67" s="200" t="s">
        <v>92</v>
      </c>
      <c r="P67" s="90" t="s">
        <v>93</v>
      </c>
      <c r="R67" s="733"/>
      <c r="T67" s="336" t="s">
        <v>146</v>
      </c>
      <c r="U67" s="355" t="s">
        <v>147</v>
      </c>
      <c r="V67" s="354" t="s">
        <v>148</v>
      </c>
      <c r="W67" s="513" t="s">
        <v>149</v>
      </c>
      <c r="X67" s="514" t="s">
        <v>150</v>
      </c>
      <c r="Y67" s="359"/>
      <c r="Z67" s="359"/>
      <c r="AA67" s="359"/>
      <c r="AB67" s="514" t="s">
        <v>151</v>
      </c>
      <c r="AC67" s="514" t="s">
        <v>152</v>
      </c>
      <c r="AD67" s="354" t="s">
        <v>153</v>
      </c>
      <c r="AE67" s="720"/>
      <c r="AF67" s="337" t="s">
        <v>146</v>
      </c>
      <c r="AG67" s="355" t="s">
        <v>94</v>
      </c>
      <c r="AH67" s="354" t="s">
        <v>95</v>
      </c>
      <c r="AI67" s="513" t="s">
        <v>96</v>
      </c>
      <c r="AJ67" s="363" t="s">
        <v>95</v>
      </c>
      <c r="AK67" s="350"/>
      <c r="AL67" s="350"/>
      <c r="AM67" s="350"/>
      <c r="AN67" s="364" t="s">
        <v>80</v>
      </c>
      <c r="AO67" s="514" t="s">
        <v>80</v>
      </c>
      <c r="AP67" s="524" t="s">
        <v>97</v>
      </c>
      <c r="AQ67" s="843"/>
      <c r="AR67" s="354" t="s">
        <v>154</v>
      </c>
      <c r="AS67" s="355" t="s">
        <v>155</v>
      </c>
      <c r="AT67" s="354" t="s">
        <v>156</v>
      </c>
      <c r="AU67" s="356" t="s">
        <v>157</v>
      </c>
      <c r="AV67" s="354" t="s">
        <v>158</v>
      </c>
      <c r="AW67" s="335" t="s">
        <v>159</v>
      </c>
      <c r="AX67" s="466" t="s">
        <v>160</v>
      </c>
      <c r="AY67" s="469" t="s">
        <v>161</v>
      </c>
      <c r="BA67" s="83" t="s">
        <v>162</v>
      </c>
      <c r="BB67" s="173">
        <v>1</v>
      </c>
      <c r="BC67" s="173">
        <v>2</v>
      </c>
      <c r="BD67" s="173">
        <v>3</v>
      </c>
      <c r="BE67" s="173">
        <v>4</v>
      </c>
      <c r="BF67" s="173">
        <v>5</v>
      </c>
      <c r="BG67" s="173">
        <v>6</v>
      </c>
      <c r="BH67" s="173">
        <v>7</v>
      </c>
      <c r="BI67" s="173">
        <v>8</v>
      </c>
      <c r="BJ67" s="173">
        <v>9</v>
      </c>
      <c r="BK67" s="173">
        <v>10</v>
      </c>
      <c r="BL67" s="173">
        <v>11</v>
      </c>
      <c r="BM67" s="173">
        <v>12</v>
      </c>
      <c r="BN67" s="173">
        <v>13</v>
      </c>
      <c r="BO67" s="173">
        <v>14</v>
      </c>
      <c r="BP67" s="173">
        <v>15</v>
      </c>
      <c r="BQ67" s="173">
        <v>16</v>
      </c>
      <c r="BR67" s="173">
        <v>17</v>
      </c>
      <c r="BS67" s="173">
        <v>18</v>
      </c>
      <c r="BT67" s="173">
        <v>19</v>
      </c>
      <c r="BU67" s="173">
        <v>20</v>
      </c>
      <c r="BV67" s="187" t="s">
        <v>163</v>
      </c>
      <c r="BW67" s="173" t="s">
        <v>164</v>
      </c>
      <c r="BX67" s="173" t="s">
        <v>165</v>
      </c>
    </row>
    <row r="68" spans="1:76" s="25" customFormat="1" ht="15.6">
      <c r="A68" s="89"/>
      <c r="B68" s="267">
        <v>1</v>
      </c>
      <c r="C68" s="211" t="str">
        <f t="shared" ref="C68:C87" si="11">IF(D68="","",C11)</f>
        <v/>
      </c>
      <c r="D68" s="212" t="str">
        <f>IF(OR(K11=0, K11=""),"",D11)</f>
        <v/>
      </c>
      <c r="E68" s="213" t="str">
        <f t="shared" ref="E68:E88" si="12">IF(AX68="","",AX68)</f>
        <v/>
      </c>
      <c r="F68" s="685"/>
      <c r="G68" s="686"/>
      <c r="H68" s="167" t="str">
        <f t="shared" ref="H68:H87" si="13">IF(D68="","",AB68)</f>
        <v/>
      </c>
      <c r="I68" s="325" t="str">
        <f>IF(OR(K11="", K11=0),"",K11)</f>
        <v/>
      </c>
      <c r="J68" s="800" t="str">
        <f>IFERROR(IF(F68="","",VLOOKUP(F68,'10. Condition and Temporal'!$B$6:$F$103,5,FALSE)), "Error ▲")</f>
        <v/>
      </c>
      <c r="K68" s="801"/>
      <c r="L68" s="287" t="str">
        <f>IFERROR(IF(D68="","",IF(AX68="Distinctiveness",(((((I68*AH68*AJ68)-(I68*V68*X68))*(AV68*AT68))+(I68*V68*X68))*(AP68))/10000,((((I68*AJ68*AH68)-(I68*V68*X68))*(AV68*AR68))+(I68*V68*X68))*AP68/10000)),"Error ▲")</f>
        <v/>
      </c>
      <c r="M68" s="689" t="str">
        <f>IFERROR(IF(F68="","",L68-AD68), "Error ▲")</f>
        <v/>
      </c>
      <c r="N68" s="690"/>
      <c r="O68" s="214"/>
      <c r="P68" s="1"/>
      <c r="R68" s="733"/>
      <c r="T68" s="181" t="str">
        <f t="shared" ref="T68:T88" si="14">IF(D68="","",K11)</f>
        <v/>
      </c>
      <c r="U68" s="365" t="str">
        <f>IF($D68="","",T11)</f>
        <v/>
      </c>
      <c r="V68" s="367" t="str">
        <f t="shared" ref="V68:X88" si="15">IF($D68="","",V11)</f>
        <v/>
      </c>
      <c r="W68" s="365" t="str">
        <f t="shared" si="15"/>
        <v/>
      </c>
      <c r="X68" s="367" t="str">
        <f t="shared" si="15"/>
        <v/>
      </c>
      <c r="Y68" s="376"/>
      <c r="Z68" s="347"/>
      <c r="AA68" s="515"/>
      <c r="AB68" s="365" t="str">
        <f t="shared" ref="AB68:AB88" si="16">IF($D68="","",AB11)</f>
        <v/>
      </c>
      <c r="AC68" s="367" t="str">
        <f t="shared" ref="AC68:AC88" si="17">IF($D68="","",AD11)</f>
        <v/>
      </c>
      <c r="AD68" s="518" t="str">
        <f>IF(AC68="","",(T68*V68*X68)*AC68/10000)</f>
        <v/>
      </c>
      <c r="AE68" s="518" t="str">
        <f>IF(AD68="","",IF(AH68&lt;V68,"Not Acceptable","Acceptable"))</f>
        <v/>
      </c>
      <c r="AF68" s="518" t="str">
        <f t="shared" ref="AF68:AF88" si="18">IF(D68="","",I68)</f>
        <v/>
      </c>
      <c r="AG68" s="365" t="str">
        <f>IF(D68="","",VLOOKUP(F68,'9. All Habitats + Multipliers'!$C$4:$K$102,5,FALSE))</f>
        <v/>
      </c>
      <c r="AH68" s="521" t="str">
        <f>IF(AG68="","",VLOOKUP(AG68,'11. Lists'!$B$47:$D$49,2,FALSE))</f>
        <v/>
      </c>
      <c r="AI68" s="365" t="str">
        <f t="shared" ref="AI68:AI88" si="19">IF(D68="","",J68)</f>
        <v/>
      </c>
      <c r="AJ68" s="367" t="str">
        <f>IF(AI68="","",VLOOKUP(AI68,'11. Lists'!$F$47:$G$51,2,FALSE))</f>
        <v/>
      </c>
      <c r="AK68" s="523"/>
      <c r="AL68" s="366"/>
      <c r="AM68" s="526"/>
      <c r="AN68" s="365" t="str">
        <f t="shared" ref="AN68:AN88" si="20">IF(H68="","",H68)</f>
        <v/>
      </c>
      <c r="AO68" s="527" t="str">
        <f>IF(AN68="","",VLOOKUP(AN68,'11. Lists'!$F$36:$H$38,2,FALSE))</f>
        <v/>
      </c>
      <c r="AP68" s="367" t="str">
        <f>IF(AN68="","",VLOOKUP(AN68,'11. Lists'!$F$36:$H$38,3,FALSE))</f>
        <v/>
      </c>
      <c r="AQ68" s="365" t="str">
        <f>IF(D68="","",IF(AX68="Distinctiveness","N/A",VLOOKUP(F68,'10. Condition and Temporal'!$B$6:$L$103,11,FALSE)))</f>
        <v/>
      </c>
      <c r="AR68" s="528" t="str">
        <f>IF(AQ68="","",IF(AQ68="N/A","1",VLOOKUP(AQ68,'11. Lists'!$I$47:$K$80,3,FALSE)))</f>
        <v/>
      </c>
      <c r="AS68" s="531" t="str">
        <f>IF(D68="","",IF(AX68="Condition","N/A",VLOOKUP(F68,'10. Condition and Temporal'!$B$6:$M$106,12,FALSE)))</f>
        <v/>
      </c>
      <c r="AT68" s="528" t="str">
        <f>IF(AS68="","",IF(AS68="N/A","1",VLOOKUP(AS68,'11. Lists'!$I$47:$K$80,3,FALSE)))</f>
        <v/>
      </c>
      <c r="AU68" s="365" t="str">
        <f>IF(D68="","",VLOOKUP(F68,'9. All Habitats + Multipliers'!$C$4:$K$102,8,FALSE))</f>
        <v/>
      </c>
      <c r="AV68" s="367" t="str">
        <f>IF(AU68="","",VLOOKUP(AU68,'11. Lists'!$J$35:$K$38,2,FALSE))</f>
        <v/>
      </c>
      <c r="AW68" s="518" t="str">
        <f>IF(D68="","",VLOOKUP(D68,'10. Condition and Temporal'!$B$6:$M$103,4,FALSE))</f>
        <v/>
      </c>
      <c r="AX68" s="518" t="str">
        <f t="shared" ref="AX68:AX87" si="21">IF(F68="","",IF(D68=F68,"Condition","Distinctiveness"))</f>
        <v/>
      </c>
      <c r="AY68" s="470"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8" t="str">
        <f>IF(BX68=0,"",CONCATENATE(BW68,"68:",BW68,BX68+67))</f>
        <v/>
      </c>
      <c r="BW68" s="95" t="s">
        <v>166</v>
      </c>
      <c r="BX68" s="95">
        <f>BB66</f>
        <v>0</v>
      </c>
    </row>
    <row r="69" spans="1:76" s="25" customFormat="1" ht="15.6">
      <c r="A69" s="89"/>
      <c r="B69" s="268">
        <v>2</v>
      </c>
      <c r="C69" s="120" t="str">
        <f t="shared" si="11"/>
        <v/>
      </c>
      <c r="D69" s="212" t="str">
        <f t="shared" ref="D69:D87" si="42">IF(OR(K12=0, K12=""),"",D12)</f>
        <v/>
      </c>
      <c r="E69" s="170" t="str">
        <f t="shared" si="12"/>
        <v/>
      </c>
      <c r="F69" s="818"/>
      <c r="G69" s="819"/>
      <c r="H69" s="167" t="str">
        <f t="shared" si="13"/>
        <v/>
      </c>
      <c r="I69" s="325" t="str">
        <f t="shared" ref="I69:I87" si="43">IF(OR(K12="", K12=0),"",K12)</f>
        <v/>
      </c>
      <c r="J69" s="800" t="str">
        <f>IFERROR(IF(F69="","",VLOOKUP(F69,'10. Condition and Temporal'!$B$6:$F$103,5,FALSE)), "Error ▲")</f>
        <v/>
      </c>
      <c r="K69" s="801"/>
      <c r="L69" s="287" t="str">
        <f t="shared" ref="L69:L87" si="44">IFERROR(IF(D69="","",IF(AX69="Distinctiveness",(((((I69*AH69*AJ69)-(I69*V69*X69))*(AV69*AT69))+(I69*V69*X69))*(AP69))/10000,((((I69*AJ69*AH69)-(I69*V69*X69))*(AV69*AR69))+(I69*V69*X69))*AP69/10000)),"Error ▲")</f>
        <v/>
      </c>
      <c r="M69" s="689" t="str">
        <f t="shared" ref="M69:M87" si="45">IFERROR(IF(F69="","",L69-AD69), "Error ▲")</f>
        <v/>
      </c>
      <c r="N69" s="690"/>
      <c r="O69" s="74"/>
      <c r="P69" s="12"/>
      <c r="R69" s="733"/>
      <c r="T69" s="181" t="str">
        <f t="shared" si="14"/>
        <v/>
      </c>
      <c r="U69" s="115" t="str">
        <f t="shared" ref="U69:U87" si="46">IF($D69="","",T12)</f>
        <v/>
      </c>
      <c r="V69" s="94" t="str">
        <f t="shared" si="15"/>
        <v/>
      </c>
      <c r="W69" s="93" t="str">
        <f t="shared" si="15"/>
        <v/>
      </c>
      <c r="X69" s="94" t="str">
        <f t="shared" si="15"/>
        <v/>
      </c>
      <c r="Y69" s="376"/>
      <c r="Z69" s="347"/>
      <c r="AA69" s="515"/>
      <c r="AB69" s="93" t="str">
        <f t="shared" si="16"/>
        <v/>
      </c>
      <c r="AC69" s="116" t="str">
        <f t="shared" si="17"/>
        <v/>
      </c>
      <c r="AD69" s="181" t="str">
        <f>IF(AC69="","",(T69*V69*X69)*AC69/10000)</f>
        <v/>
      </c>
      <c r="AE69" s="181" t="str">
        <f t="shared" ref="AE69:AE87" si="47">IF(AD69="","",IF(AH69&lt;V69,"Not Acceptable","Acceptable"))</f>
        <v/>
      </c>
      <c r="AF69" s="519" t="str">
        <f t="shared" si="18"/>
        <v/>
      </c>
      <c r="AG69" s="115" t="str">
        <f>IF(D69="","",VLOOKUP(F69,'9. All Habitats + Multipliers'!$C$4:$K$102,5,FALSE))</f>
        <v/>
      </c>
      <c r="AH69" s="348" t="str">
        <f>IF(AG69="","",VLOOKUP(AG69,'11. Lists'!$B$47:$D$49,2,FALSE))</f>
        <v/>
      </c>
      <c r="AI69" s="93" t="str">
        <f t="shared" si="19"/>
        <v/>
      </c>
      <c r="AJ69" s="94" t="str">
        <f>IF(AI69="","",VLOOKUP(AI69,'11. Lists'!$F$47:$G$51,2,FALSE))</f>
        <v/>
      </c>
      <c r="AK69" s="376"/>
      <c r="AL69" s="347"/>
      <c r="AM69" s="515"/>
      <c r="AN69" s="93" t="str">
        <f t="shared" si="20"/>
        <v/>
      </c>
      <c r="AO69" s="95" t="str">
        <f>IF(AN69="","",VLOOKUP(AN69,'11. Lists'!$F$36:$H$38,2,FALSE))</f>
        <v/>
      </c>
      <c r="AP69" s="94" t="str">
        <f>IF(AN69="","",VLOOKUP(AN69,'11. Lists'!$F$36:$H$38,3,FALSE))</f>
        <v/>
      </c>
      <c r="AQ69" s="115" t="str">
        <f>IF(D69="","",IF(AX69="Distinctiveness","N/A",VLOOKUP(F69,'10. Condition and Temporal'!$B$6:$L$103,11,FALSE)))</f>
        <v/>
      </c>
      <c r="AR69" s="119" t="str">
        <f>IF(AQ69="","",IF(AQ69="N/A","1",VLOOKUP(AQ69,'11. Lists'!$I$47:$K$80,3,FALSE)))</f>
        <v/>
      </c>
      <c r="AS69" s="532" t="str">
        <f>IF(D69="","",IF(AX69="Condition","N/A",VLOOKUP(F69,'10. Condition and Temporal'!$B$6:$M$106,12,FALSE)))</f>
        <v/>
      </c>
      <c r="AT69" s="119" t="str">
        <f>IF(AS69="","",IF(AS69="N/A","1",VLOOKUP(AS69,'11. Lists'!$I$47:$K$80,3,FALSE)))</f>
        <v/>
      </c>
      <c r="AU69" s="115" t="str">
        <f>IF(D69="","",VLOOKUP(F69,'9. All Habitats + Multipliers'!$C$4:$K$102,8,FALSE))</f>
        <v/>
      </c>
      <c r="AV69" s="116" t="str">
        <f>IF(AU69="","",VLOOKUP(AU69,'11. Lists'!$J$35:$K$38,2,FALSE))</f>
        <v/>
      </c>
      <c r="AW69" s="181" t="str">
        <f>IF(D69="","",VLOOKUP(D69,'10. Condition and Temporal'!$B$6:$M$103,4,FALSE))</f>
        <v/>
      </c>
      <c r="AX69" s="181" t="str">
        <f t="shared" si="21"/>
        <v/>
      </c>
      <c r="AY69" s="471"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8" t="str">
        <f t="shared" ref="BV69:BV87" si="49">IF(BX69=0,"",CONCATENATE(BW69,"68:",BW69,BX69+67))</f>
        <v/>
      </c>
      <c r="BW69" s="95" t="s">
        <v>167</v>
      </c>
      <c r="BX69" s="95">
        <f>BC66</f>
        <v>0</v>
      </c>
    </row>
    <row r="70" spans="1:76" s="25" customFormat="1" ht="15.6">
      <c r="A70" s="89"/>
      <c r="B70" s="268">
        <v>3</v>
      </c>
      <c r="C70" s="120" t="str">
        <f t="shared" si="11"/>
        <v/>
      </c>
      <c r="D70" s="212" t="str">
        <f t="shared" si="42"/>
        <v/>
      </c>
      <c r="E70" s="170" t="str">
        <f t="shared" si="12"/>
        <v/>
      </c>
      <c r="F70" s="818"/>
      <c r="G70" s="819"/>
      <c r="H70" s="167" t="str">
        <f t="shared" si="13"/>
        <v/>
      </c>
      <c r="I70" s="325" t="str">
        <f t="shared" si="43"/>
        <v/>
      </c>
      <c r="J70" s="800" t="str">
        <f>IFERROR(IF(F70="","",VLOOKUP(F70,'10. Condition and Temporal'!$B$6:$F$103,5,FALSE)), "Error ▲")</f>
        <v/>
      </c>
      <c r="K70" s="801"/>
      <c r="L70" s="287" t="str">
        <f t="shared" si="44"/>
        <v/>
      </c>
      <c r="M70" s="689" t="str">
        <f t="shared" si="45"/>
        <v/>
      </c>
      <c r="N70" s="690"/>
      <c r="O70" s="74"/>
      <c r="P70" s="12"/>
      <c r="R70" s="733"/>
      <c r="T70" s="181" t="str">
        <f t="shared" si="14"/>
        <v/>
      </c>
      <c r="U70" s="115" t="str">
        <f t="shared" si="46"/>
        <v/>
      </c>
      <c r="V70" s="94" t="str">
        <f t="shared" si="15"/>
        <v/>
      </c>
      <c r="W70" s="93" t="str">
        <f t="shared" si="15"/>
        <v/>
      </c>
      <c r="X70" s="94" t="str">
        <f t="shared" si="15"/>
        <v/>
      </c>
      <c r="Y70" s="376"/>
      <c r="Z70" s="347"/>
      <c r="AA70" s="515"/>
      <c r="AB70" s="93" t="str">
        <f t="shared" si="16"/>
        <v/>
      </c>
      <c r="AC70" s="116" t="str">
        <f t="shared" si="17"/>
        <v/>
      </c>
      <c r="AD70" s="181" t="str">
        <f t="shared" ref="AD70:AD87" si="50">IF(AC70="","",(T70*V70*X70)*AC70/10000)</f>
        <v/>
      </c>
      <c r="AE70" s="181" t="str">
        <f t="shared" si="47"/>
        <v/>
      </c>
      <c r="AF70" s="519" t="str">
        <f t="shared" si="18"/>
        <v/>
      </c>
      <c r="AG70" s="115" t="str">
        <f>IF(D70="","",VLOOKUP(F70,'9. All Habitats + Multipliers'!$C$4:$K$102,5,FALSE))</f>
        <v/>
      </c>
      <c r="AH70" s="348" t="str">
        <f>IF(AG70="","",VLOOKUP(AG70,'11. Lists'!$B$47:$D$49,2,FALSE))</f>
        <v/>
      </c>
      <c r="AI70" s="93" t="str">
        <f t="shared" si="19"/>
        <v/>
      </c>
      <c r="AJ70" s="94" t="str">
        <f>IF(AI70="","",VLOOKUP(AI70,'11. Lists'!$F$47:$G$51,2,FALSE))</f>
        <v/>
      </c>
      <c r="AK70" s="376"/>
      <c r="AL70" s="347"/>
      <c r="AM70" s="515"/>
      <c r="AN70" s="93" t="str">
        <f t="shared" si="20"/>
        <v/>
      </c>
      <c r="AO70" s="95" t="str">
        <f>IF(AN70="","",VLOOKUP(AN70,'11. Lists'!$F$36:$H$38,2,FALSE))</f>
        <v/>
      </c>
      <c r="AP70" s="94" t="str">
        <f>IF(AN70="","",VLOOKUP(AN70,'11. Lists'!$F$36:$H$38,3,FALSE))</f>
        <v/>
      </c>
      <c r="AQ70" s="115" t="str">
        <f>IF(D70="","",IF(AX70="Distinctiveness","N/A",VLOOKUP(F70,'10. Condition and Temporal'!$B$6:$L$103,11,FALSE)))</f>
        <v/>
      </c>
      <c r="AR70" s="119" t="str">
        <f>IF(AQ70="","",IF(AQ70="N/A","1",VLOOKUP(AQ70,'11. Lists'!$I$47:$K$80,3,FALSE)))</f>
        <v/>
      </c>
      <c r="AS70" s="532" t="str">
        <f>IF(D70="","",IF(AX70="Condition","N/A",VLOOKUP(F70,'10. Condition and Temporal'!$B$6:$M$106,12,FALSE)))</f>
        <v/>
      </c>
      <c r="AT70" s="119" t="str">
        <f>IF(AS70="","",IF(AS70="N/A","1",VLOOKUP(AS70,'11. Lists'!$I$47:$K$80,3,FALSE)))</f>
        <v/>
      </c>
      <c r="AU70" s="115" t="str">
        <f>IF(D70="","",VLOOKUP(F70,'9. All Habitats + Multipliers'!$C$4:$K$102,8,FALSE))</f>
        <v/>
      </c>
      <c r="AV70" s="116" t="str">
        <f>IF(AU70="","",VLOOKUP(AU70,'11. Lists'!$J$35:$K$38,2,FALSE))</f>
        <v/>
      </c>
      <c r="AW70" s="181" t="str">
        <f>IF(D70="","",VLOOKUP(D70,'10. Condition and Temporal'!$B$6:$M$103,4,FALSE))</f>
        <v/>
      </c>
      <c r="AX70" s="181" t="str">
        <f t="shared" si="21"/>
        <v/>
      </c>
      <c r="AY70" s="471"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8" t="str">
        <f t="shared" si="49"/>
        <v/>
      </c>
      <c r="BW70" s="95" t="s">
        <v>168</v>
      </c>
      <c r="BX70" s="95">
        <f>BD66</f>
        <v>0</v>
      </c>
    </row>
    <row r="71" spans="1:76" s="25" customFormat="1" ht="15.6">
      <c r="A71" s="89"/>
      <c r="B71" s="268">
        <v>4</v>
      </c>
      <c r="C71" s="120" t="str">
        <f t="shared" si="11"/>
        <v/>
      </c>
      <c r="D71" s="212" t="str">
        <f t="shared" si="42"/>
        <v/>
      </c>
      <c r="E71" s="170" t="str">
        <f t="shared" si="12"/>
        <v/>
      </c>
      <c r="F71" s="818"/>
      <c r="G71" s="819"/>
      <c r="H71" s="167" t="str">
        <f t="shared" si="13"/>
        <v/>
      </c>
      <c r="I71" s="325" t="str">
        <f t="shared" si="43"/>
        <v/>
      </c>
      <c r="J71" s="800" t="str">
        <f>IFERROR(IF(F71="","",VLOOKUP(F71,'10. Condition and Temporal'!$B$6:$F$103,5,FALSE)), "Error ▲")</f>
        <v/>
      </c>
      <c r="K71" s="801"/>
      <c r="L71" s="287" t="str">
        <f t="shared" si="44"/>
        <v/>
      </c>
      <c r="M71" s="689" t="str">
        <f t="shared" si="45"/>
        <v/>
      </c>
      <c r="N71" s="690"/>
      <c r="O71" s="74"/>
      <c r="P71" s="12"/>
      <c r="R71" s="733"/>
      <c r="T71" s="181" t="str">
        <f t="shared" si="14"/>
        <v/>
      </c>
      <c r="U71" s="115" t="str">
        <f t="shared" si="46"/>
        <v/>
      </c>
      <c r="V71" s="94" t="str">
        <f t="shared" si="15"/>
        <v/>
      </c>
      <c r="W71" s="93" t="str">
        <f t="shared" si="15"/>
        <v/>
      </c>
      <c r="X71" s="94" t="str">
        <f t="shared" si="15"/>
        <v/>
      </c>
      <c r="Y71" s="376"/>
      <c r="Z71" s="347"/>
      <c r="AA71" s="515"/>
      <c r="AB71" s="93" t="str">
        <f t="shared" si="16"/>
        <v/>
      </c>
      <c r="AC71" s="116" t="str">
        <f t="shared" si="17"/>
        <v/>
      </c>
      <c r="AD71" s="181" t="str">
        <f t="shared" si="50"/>
        <v/>
      </c>
      <c r="AE71" s="181" t="str">
        <f t="shared" si="47"/>
        <v/>
      </c>
      <c r="AF71" s="519" t="str">
        <f t="shared" si="18"/>
        <v/>
      </c>
      <c r="AG71" s="115" t="str">
        <f>IF(D71="","",VLOOKUP(F71,'9. All Habitats + Multipliers'!$C$4:$K$102,5,FALSE))</f>
        <v/>
      </c>
      <c r="AH71" s="348" t="str">
        <f>IF(AG71="","",VLOOKUP(AG71,'11. Lists'!$B$47:$D$49,2,FALSE))</f>
        <v/>
      </c>
      <c r="AI71" s="93" t="str">
        <f t="shared" si="19"/>
        <v/>
      </c>
      <c r="AJ71" s="94" t="str">
        <f>IF(AI71="","",VLOOKUP(AI71,'11. Lists'!$F$47:$G$51,2,FALSE))</f>
        <v/>
      </c>
      <c r="AK71" s="376"/>
      <c r="AL71" s="347"/>
      <c r="AM71" s="515"/>
      <c r="AN71" s="93" t="str">
        <f t="shared" si="20"/>
        <v/>
      </c>
      <c r="AO71" s="95" t="str">
        <f>IF(AN71="","",VLOOKUP(AN71,'11. Lists'!$F$36:$H$38,2,FALSE))</f>
        <v/>
      </c>
      <c r="AP71" s="94" t="str">
        <f>IF(AN71="","",VLOOKUP(AN71,'11. Lists'!$F$36:$H$38,3,FALSE))</f>
        <v/>
      </c>
      <c r="AQ71" s="115" t="str">
        <f>IF(D71="","",IF(AX71="Distinctiveness","N/A",VLOOKUP(F71,'10. Condition and Temporal'!$B$6:$L$103,11,FALSE)))</f>
        <v/>
      </c>
      <c r="AR71" s="119" t="str">
        <f>IF(AQ71="","",IF(AQ71="N/A","1",VLOOKUP(AQ71,'11. Lists'!$I$47:$K$80,3,FALSE)))</f>
        <v/>
      </c>
      <c r="AS71" s="532" t="str">
        <f>IF(D71="","",IF(AX71="Condition","N/A",VLOOKUP(F71,'10. Condition and Temporal'!$B$6:$M$106,12,FALSE)))</f>
        <v/>
      </c>
      <c r="AT71" s="119" t="str">
        <f>IF(AS71="","",IF(AS71="N/A","1",VLOOKUP(AS71,'11. Lists'!$I$47:$K$80,3,FALSE)))</f>
        <v/>
      </c>
      <c r="AU71" s="115" t="str">
        <f>IF(D71="","",VLOOKUP(F71,'9. All Habitats + Multipliers'!$C$4:$K$102,8,FALSE))</f>
        <v/>
      </c>
      <c r="AV71" s="116" t="str">
        <f>IF(AU71="","",VLOOKUP(AU71,'11. Lists'!$J$35:$K$38,2,FALSE))</f>
        <v/>
      </c>
      <c r="AW71" s="181" t="str">
        <f>IF(D71="","",VLOOKUP(D71,'10. Condition and Temporal'!$B$6:$M$103,4,FALSE))</f>
        <v/>
      </c>
      <c r="AX71" s="181" t="str">
        <f t="shared" si="21"/>
        <v/>
      </c>
      <c r="AY71" s="471"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8" t="str">
        <f t="shared" si="49"/>
        <v/>
      </c>
      <c r="BW71" s="95" t="s">
        <v>169</v>
      </c>
      <c r="BX71" s="95">
        <f>BE66</f>
        <v>0</v>
      </c>
    </row>
    <row r="72" spans="1:76" s="25" customFormat="1" ht="15.6">
      <c r="A72" s="89"/>
      <c r="B72" s="268">
        <v>5</v>
      </c>
      <c r="C72" s="120" t="str">
        <f t="shared" si="11"/>
        <v/>
      </c>
      <c r="D72" s="212" t="str">
        <f t="shared" si="42"/>
        <v/>
      </c>
      <c r="E72" s="170" t="str">
        <f t="shared" si="12"/>
        <v/>
      </c>
      <c r="F72" s="818"/>
      <c r="G72" s="819"/>
      <c r="H72" s="167" t="str">
        <f t="shared" si="13"/>
        <v/>
      </c>
      <c r="I72" s="325" t="str">
        <f t="shared" si="43"/>
        <v/>
      </c>
      <c r="J72" s="800" t="str">
        <f>IFERROR(IF(F72="","",VLOOKUP(F72,'10. Condition and Temporal'!$B$6:$F$103,5,FALSE)), "Error ▲")</f>
        <v/>
      </c>
      <c r="K72" s="801"/>
      <c r="L72" s="287" t="str">
        <f t="shared" si="44"/>
        <v/>
      </c>
      <c r="M72" s="689" t="str">
        <f t="shared" si="45"/>
        <v/>
      </c>
      <c r="N72" s="690"/>
      <c r="O72" s="74"/>
      <c r="P72" s="12"/>
      <c r="R72" s="733"/>
      <c r="T72" s="181" t="str">
        <f t="shared" si="14"/>
        <v/>
      </c>
      <c r="U72" s="115" t="str">
        <f t="shared" si="46"/>
        <v/>
      </c>
      <c r="V72" s="94" t="str">
        <f t="shared" si="15"/>
        <v/>
      </c>
      <c r="W72" s="93" t="str">
        <f t="shared" si="15"/>
        <v/>
      </c>
      <c r="X72" s="94" t="str">
        <f t="shared" si="15"/>
        <v/>
      </c>
      <c r="Y72" s="376"/>
      <c r="Z72" s="347"/>
      <c r="AA72" s="515"/>
      <c r="AB72" s="93" t="str">
        <f t="shared" si="16"/>
        <v/>
      </c>
      <c r="AC72" s="116" t="str">
        <f t="shared" si="17"/>
        <v/>
      </c>
      <c r="AD72" s="181" t="str">
        <f t="shared" si="50"/>
        <v/>
      </c>
      <c r="AE72" s="181" t="str">
        <f t="shared" si="47"/>
        <v/>
      </c>
      <c r="AF72" s="519" t="str">
        <f t="shared" si="18"/>
        <v/>
      </c>
      <c r="AG72" s="115" t="str">
        <f>IF(D72="","",VLOOKUP(F72,'9. All Habitats + Multipliers'!$C$4:$K$102,5,FALSE))</f>
        <v/>
      </c>
      <c r="AH72" s="348" t="str">
        <f>IF(AG72="","",VLOOKUP(AG72,'11. Lists'!$B$47:$D$49,2,FALSE))</f>
        <v/>
      </c>
      <c r="AI72" s="93" t="str">
        <f t="shared" si="19"/>
        <v/>
      </c>
      <c r="AJ72" s="94" t="str">
        <f>IF(AI72="","",VLOOKUP(AI72,'11. Lists'!$F$47:$G$51,2,FALSE))</f>
        <v/>
      </c>
      <c r="AK72" s="376"/>
      <c r="AL72" s="347"/>
      <c r="AM72" s="515"/>
      <c r="AN72" s="93" t="str">
        <f t="shared" si="20"/>
        <v/>
      </c>
      <c r="AO72" s="95" t="str">
        <f>IF(AN72="","",VLOOKUP(AN72,'11. Lists'!$F$36:$H$38,2,FALSE))</f>
        <v/>
      </c>
      <c r="AP72" s="94" t="str">
        <f>IF(AN72="","",VLOOKUP(AN72,'11. Lists'!$F$36:$H$38,3,FALSE))</f>
        <v/>
      </c>
      <c r="AQ72" s="115" t="str">
        <f>IF(D72="","",IF(AX72="Distinctiveness","N/A",VLOOKUP(F72,'10. Condition and Temporal'!$B$6:$L$103,11,FALSE)))</f>
        <v/>
      </c>
      <c r="AR72" s="119" t="str">
        <f>IF(AQ72="","",IF(AQ72="N/A","1",VLOOKUP(AQ72,'11. Lists'!$I$47:$K$80,3,FALSE)))</f>
        <v/>
      </c>
      <c r="AS72" s="532" t="str">
        <f>IF(D72="","",IF(AX72="Condition","N/A",VLOOKUP(F72,'10. Condition and Temporal'!$B$6:$M$106,12,FALSE)))</f>
        <v/>
      </c>
      <c r="AT72" s="119" t="str">
        <f>IF(AS72="","",IF(AS72="N/A","1",VLOOKUP(AS72,'11. Lists'!$I$47:$K$80,3,FALSE)))</f>
        <v/>
      </c>
      <c r="AU72" s="115" t="str">
        <f>IF(D72="","",VLOOKUP(F72,'9. All Habitats + Multipliers'!$C$4:$K$102,8,FALSE))</f>
        <v/>
      </c>
      <c r="AV72" s="116" t="str">
        <f>IF(AU72="","",VLOOKUP(AU72,'11. Lists'!$J$35:$K$38,2,FALSE))</f>
        <v/>
      </c>
      <c r="AW72" s="181" t="str">
        <f>IF(D72="","",VLOOKUP(D72,'10. Condition and Temporal'!$B$6:$M$103,4,FALSE))</f>
        <v/>
      </c>
      <c r="AX72" s="181" t="str">
        <f t="shared" si="21"/>
        <v/>
      </c>
      <c r="AY72" s="471"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8" t="str">
        <f t="shared" si="49"/>
        <v/>
      </c>
      <c r="BW72" s="95" t="s">
        <v>170</v>
      </c>
      <c r="BX72" s="95">
        <f>BF66</f>
        <v>0</v>
      </c>
    </row>
    <row r="73" spans="1:76" s="25" customFormat="1" ht="15.6">
      <c r="A73" s="89"/>
      <c r="B73" s="268">
        <v>6</v>
      </c>
      <c r="C73" s="120" t="str">
        <f t="shared" si="11"/>
        <v/>
      </c>
      <c r="D73" s="212" t="str">
        <f t="shared" si="42"/>
        <v/>
      </c>
      <c r="E73" s="170" t="str">
        <f t="shared" si="12"/>
        <v/>
      </c>
      <c r="F73" s="818"/>
      <c r="G73" s="819"/>
      <c r="H73" s="167" t="str">
        <f t="shared" si="13"/>
        <v/>
      </c>
      <c r="I73" s="325" t="str">
        <f t="shared" si="43"/>
        <v/>
      </c>
      <c r="J73" s="800" t="str">
        <f>IFERROR(IF(F73="","",VLOOKUP(F73,'10. Condition and Temporal'!$B$6:$F$103,5,FALSE)), "Error ▲")</f>
        <v/>
      </c>
      <c r="K73" s="801"/>
      <c r="L73" s="287" t="str">
        <f t="shared" si="44"/>
        <v/>
      </c>
      <c r="M73" s="689" t="str">
        <f t="shared" si="45"/>
        <v/>
      </c>
      <c r="N73" s="690"/>
      <c r="O73" s="74"/>
      <c r="P73" s="12"/>
      <c r="R73" s="733"/>
      <c r="T73" s="181" t="str">
        <f t="shared" si="14"/>
        <v/>
      </c>
      <c r="U73" s="115" t="str">
        <f t="shared" si="46"/>
        <v/>
      </c>
      <c r="V73" s="94" t="str">
        <f t="shared" si="15"/>
        <v/>
      </c>
      <c r="W73" s="93" t="str">
        <f t="shared" si="15"/>
        <v/>
      </c>
      <c r="X73" s="94" t="str">
        <f t="shared" si="15"/>
        <v/>
      </c>
      <c r="Y73" s="376"/>
      <c r="Z73" s="347"/>
      <c r="AA73" s="515"/>
      <c r="AB73" s="93" t="str">
        <f t="shared" si="16"/>
        <v/>
      </c>
      <c r="AC73" s="116" t="str">
        <f t="shared" si="17"/>
        <v/>
      </c>
      <c r="AD73" s="181" t="str">
        <f t="shared" si="50"/>
        <v/>
      </c>
      <c r="AE73" s="181" t="str">
        <f t="shared" si="47"/>
        <v/>
      </c>
      <c r="AF73" s="519" t="str">
        <f t="shared" si="18"/>
        <v/>
      </c>
      <c r="AG73" s="115" t="str">
        <f>IF(D73="","",VLOOKUP(F73,'9. All Habitats + Multipliers'!$C$4:$K$102,5,FALSE))</f>
        <v/>
      </c>
      <c r="AH73" s="348" t="str">
        <f>IF(AG73="","",VLOOKUP(AG73,'11. Lists'!$B$47:$D$49,2,FALSE))</f>
        <v/>
      </c>
      <c r="AI73" s="93" t="str">
        <f t="shared" si="19"/>
        <v/>
      </c>
      <c r="AJ73" s="94" t="str">
        <f>IF(AI73="","",VLOOKUP(AI73,'11. Lists'!$F$47:$G$51,2,FALSE))</f>
        <v/>
      </c>
      <c r="AK73" s="376"/>
      <c r="AL73" s="347"/>
      <c r="AM73" s="515"/>
      <c r="AN73" s="93" t="str">
        <f t="shared" si="20"/>
        <v/>
      </c>
      <c r="AO73" s="95" t="str">
        <f>IF(AN73="","",VLOOKUP(AN73,'11. Lists'!$F$36:$H$38,2,FALSE))</f>
        <v/>
      </c>
      <c r="AP73" s="94" t="str">
        <f>IF(AN73="","",VLOOKUP(AN73,'11. Lists'!$F$36:$H$38,3,FALSE))</f>
        <v/>
      </c>
      <c r="AQ73" s="115" t="str">
        <f>IF(D73="","",IF(AX73="Distinctiveness","N/A",VLOOKUP(F73,'10. Condition and Temporal'!$B$6:$L$103,11,FALSE)))</f>
        <v/>
      </c>
      <c r="AR73" s="119" t="str">
        <f>IF(AQ73="","",IF(AQ73="N/A","1",VLOOKUP(AQ73,'11. Lists'!$I$47:$K$80,3,FALSE)))</f>
        <v/>
      </c>
      <c r="AS73" s="532" t="str">
        <f>IF(D73="","",IF(AX73="Condition","N/A",VLOOKUP(F73,'10. Condition and Temporal'!$B$6:$M$106,12,FALSE)))</f>
        <v/>
      </c>
      <c r="AT73" s="119" t="str">
        <f>IF(AS73="","",IF(AS73="N/A","1",VLOOKUP(AS73,'11. Lists'!$I$47:$K$80,3,FALSE)))</f>
        <v/>
      </c>
      <c r="AU73" s="115" t="str">
        <f>IF(D73="","",VLOOKUP(F73,'9. All Habitats + Multipliers'!$C$4:$K$102,8,FALSE))</f>
        <v/>
      </c>
      <c r="AV73" s="116" t="str">
        <f>IF(AU73="","",VLOOKUP(AU73,'11. Lists'!$J$35:$K$38,2,FALSE))</f>
        <v/>
      </c>
      <c r="AW73" s="181" t="str">
        <f>IF(D73="","",VLOOKUP(D73,'10. Condition and Temporal'!$B$6:$M$103,4,FALSE))</f>
        <v/>
      </c>
      <c r="AX73" s="181" t="str">
        <f t="shared" si="21"/>
        <v/>
      </c>
      <c r="AY73" s="471"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8" t="str">
        <f t="shared" si="49"/>
        <v/>
      </c>
      <c r="BW73" s="95" t="s">
        <v>171</v>
      </c>
      <c r="BX73" s="95">
        <f>BG66</f>
        <v>0</v>
      </c>
    </row>
    <row r="74" spans="1:76" s="25" customFormat="1" ht="15.6">
      <c r="A74" s="89"/>
      <c r="B74" s="268">
        <v>7</v>
      </c>
      <c r="C74" s="120" t="str">
        <f t="shared" si="11"/>
        <v/>
      </c>
      <c r="D74" s="212" t="str">
        <f t="shared" si="42"/>
        <v/>
      </c>
      <c r="E74" s="170" t="str">
        <f t="shared" si="12"/>
        <v/>
      </c>
      <c r="F74" s="818"/>
      <c r="G74" s="819"/>
      <c r="H74" s="167" t="str">
        <f t="shared" si="13"/>
        <v/>
      </c>
      <c r="I74" s="325" t="str">
        <f t="shared" si="43"/>
        <v/>
      </c>
      <c r="J74" s="800" t="str">
        <f>IFERROR(IF(F74="","",VLOOKUP(F74,'10. Condition and Temporal'!$B$6:$F$103,5,FALSE)), "Error ▲")</f>
        <v/>
      </c>
      <c r="K74" s="801"/>
      <c r="L74" s="287" t="str">
        <f t="shared" si="44"/>
        <v/>
      </c>
      <c r="M74" s="689" t="str">
        <f t="shared" si="45"/>
        <v/>
      </c>
      <c r="N74" s="690"/>
      <c r="O74" s="74"/>
      <c r="P74" s="12"/>
      <c r="R74" s="733"/>
      <c r="T74" s="181" t="str">
        <f t="shared" si="14"/>
        <v/>
      </c>
      <c r="U74" s="115" t="str">
        <f t="shared" si="46"/>
        <v/>
      </c>
      <c r="V74" s="94" t="str">
        <f t="shared" si="15"/>
        <v/>
      </c>
      <c r="W74" s="93" t="str">
        <f t="shared" si="15"/>
        <v/>
      </c>
      <c r="X74" s="94" t="str">
        <f t="shared" si="15"/>
        <v/>
      </c>
      <c r="Y74" s="376"/>
      <c r="Z74" s="347"/>
      <c r="AA74" s="515"/>
      <c r="AB74" s="93" t="str">
        <f t="shared" si="16"/>
        <v/>
      </c>
      <c r="AC74" s="116" t="str">
        <f t="shared" si="17"/>
        <v/>
      </c>
      <c r="AD74" s="181" t="str">
        <f t="shared" si="50"/>
        <v/>
      </c>
      <c r="AE74" s="181" t="str">
        <f t="shared" si="47"/>
        <v/>
      </c>
      <c r="AF74" s="519" t="str">
        <f t="shared" si="18"/>
        <v/>
      </c>
      <c r="AG74" s="115" t="str">
        <f>IF(D74="","",VLOOKUP(F74,'9. All Habitats + Multipliers'!$C$4:$K$102,5,FALSE))</f>
        <v/>
      </c>
      <c r="AH74" s="348" t="str">
        <f>IF(AG74="","",VLOOKUP(AG74,'11. Lists'!$B$47:$D$49,2,FALSE))</f>
        <v/>
      </c>
      <c r="AI74" s="93" t="str">
        <f t="shared" si="19"/>
        <v/>
      </c>
      <c r="AJ74" s="94" t="str">
        <f>IF(AI74="","",VLOOKUP(AI74,'11. Lists'!$F$47:$G$51,2,FALSE))</f>
        <v/>
      </c>
      <c r="AK74" s="376"/>
      <c r="AL74" s="347"/>
      <c r="AM74" s="515"/>
      <c r="AN74" s="93" t="str">
        <f t="shared" si="20"/>
        <v/>
      </c>
      <c r="AO74" s="95" t="str">
        <f>IF(AN74="","",VLOOKUP(AN74,'11. Lists'!$F$36:$H$38,2,FALSE))</f>
        <v/>
      </c>
      <c r="AP74" s="94" t="str">
        <f>IF(AN74="","",VLOOKUP(AN74,'11. Lists'!$F$36:$H$38,3,FALSE))</f>
        <v/>
      </c>
      <c r="AQ74" s="115" t="str">
        <f>IF(D74="","",IF(AX74="Distinctiveness","N/A",VLOOKUP(F74,'10. Condition and Temporal'!$B$6:$L$103,11,FALSE)))</f>
        <v/>
      </c>
      <c r="AR74" s="119" t="str">
        <f>IF(AQ74="","",IF(AQ74="N/A","1",VLOOKUP(AQ74,'11. Lists'!$I$47:$K$80,3,FALSE)))</f>
        <v/>
      </c>
      <c r="AS74" s="532" t="str">
        <f>IF(D74="","",IF(AX74="Condition","N/A",VLOOKUP(F74,'10. Condition and Temporal'!$B$6:$M$106,12,FALSE)))</f>
        <v/>
      </c>
      <c r="AT74" s="119" t="str">
        <f>IF(AS74="","",IF(AS74="N/A","1",VLOOKUP(AS74,'11. Lists'!$I$47:$K$80,3,FALSE)))</f>
        <v/>
      </c>
      <c r="AU74" s="115" t="str">
        <f>IF(D74="","",VLOOKUP(F74,'9. All Habitats + Multipliers'!$C$4:$K$102,8,FALSE))</f>
        <v/>
      </c>
      <c r="AV74" s="116" t="str">
        <f>IF(AU74="","",VLOOKUP(AU74,'11. Lists'!$J$35:$K$38,2,FALSE))</f>
        <v/>
      </c>
      <c r="AW74" s="181" t="str">
        <f>IF(D74="","",VLOOKUP(D74,'10. Condition and Temporal'!$B$6:$M$103,4,FALSE))</f>
        <v/>
      </c>
      <c r="AX74" s="181" t="str">
        <f t="shared" si="21"/>
        <v/>
      </c>
      <c r="AY74" s="471"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8" t="str">
        <f t="shared" si="49"/>
        <v/>
      </c>
      <c r="BW74" s="95" t="s">
        <v>172</v>
      </c>
      <c r="BX74" s="95">
        <f>BH66</f>
        <v>0</v>
      </c>
    </row>
    <row r="75" spans="1:76" s="25" customFormat="1" ht="15.6">
      <c r="A75" s="89"/>
      <c r="B75" s="268">
        <v>8</v>
      </c>
      <c r="C75" s="120" t="str">
        <f t="shared" si="11"/>
        <v/>
      </c>
      <c r="D75" s="212" t="str">
        <f t="shared" si="42"/>
        <v/>
      </c>
      <c r="E75" s="170" t="str">
        <f t="shared" si="12"/>
        <v/>
      </c>
      <c r="F75" s="818"/>
      <c r="G75" s="819"/>
      <c r="H75" s="167" t="str">
        <f t="shared" si="13"/>
        <v/>
      </c>
      <c r="I75" s="325" t="str">
        <f t="shared" si="43"/>
        <v/>
      </c>
      <c r="J75" s="800" t="str">
        <f>IFERROR(IF(F75="","",VLOOKUP(F75,'10. Condition and Temporal'!$B$6:$F$103,5,FALSE)), "Error ▲")</f>
        <v/>
      </c>
      <c r="K75" s="801"/>
      <c r="L75" s="287" t="str">
        <f t="shared" si="44"/>
        <v/>
      </c>
      <c r="M75" s="689" t="str">
        <f t="shared" si="45"/>
        <v/>
      </c>
      <c r="N75" s="690"/>
      <c r="O75" s="74"/>
      <c r="P75" s="12"/>
      <c r="R75" s="733"/>
      <c r="T75" s="181" t="str">
        <f t="shared" si="14"/>
        <v/>
      </c>
      <c r="U75" s="115" t="str">
        <f t="shared" si="46"/>
        <v/>
      </c>
      <c r="V75" s="94" t="str">
        <f t="shared" si="15"/>
        <v/>
      </c>
      <c r="W75" s="93" t="str">
        <f t="shared" si="15"/>
        <v/>
      </c>
      <c r="X75" s="94" t="str">
        <f t="shared" si="15"/>
        <v/>
      </c>
      <c r="Y75" s="376"/>
      <c r="Z75" s="347"/>
      <c r="AA75" s="515"/>
      <c r="AB75" s="93" t="str">
        <f t="shared" si="16"/>
        <v/>
      </c>
      <c r="AC75" s="116" t="str">
        <f t="shared" si="17"/>
        <v/>
      </c>
      <c r="AD75" s="181" t="str">
        <f t="shared" si="50"/>
        <v/>
      </c>
      <c r="AE75" s="181" t="str">
        <f t="shared" si="47"/>
        <v/>
      </c>
      <c r="AF75" s="519" t="str">
        <f t="shared" si="18"/>
        <v/>
      </c>
      <c r="AG75" s="115" t="str">
        <f>IF(D75="","",VLOOKUP(F75,'9. All Habitats + Multipliers'!$C$4:$K$102,5,FALSE))</f>
        <v/>
      </c>
      <c r="AH75" s="348" t="str">
        <f>IF(AG75="","",VLOOKUP(AG75,'11. Lists'!$B$47:$D$49,2,FALSE))</f>
        <v/>
      </c>
      <c r="AI75" s="93" t="str">
        <f t="shared" si="19"/>
        <v/>
      </c>
      <c r="AJ75" s="94" t="str">
        <f>IF(AI75="","",VLOOKUP(AI75,'11. Lists'!$F$47:$G$51,2,FALSE))</f>
        <v/>
      </c>
      <c r="AK75" s="376"/>
      <c r="AL75" s="347"/>
      <c r="AM75" s="515"/>
      <c r="AN75" s="93" t="str">
        <f t="shared" si="20"/>
        <v/>
      </c>
      <c r="AO75" s="95" t="str">
        <f>IF(AN75="","",VLOOKUP(AN75,'11. Lists'!$F$36:$H$38,2,FALSE))</f>
        <v/>
      </c>
      <c r="AP75" s="94" t="str">
        <f>IF(AN75="","",VLOOKUP(AN75,'11. Lists'!$F$36:$H$38,3,FALSE))</f>
        <v/>
      </c>
      <c r="AQ75" s="115" t="str">
        <f>IF(D75="","",IF(AX75="Distinctiveness","N/A",VLOOKUP(F75,'10. Condition and Temporal'!$B$6:$L$103,11,FALSE)))</f>
        <v/>
      </c>
      <c r="AR75" s="119" t="str">
        <f>IF(AQ75="","",IF(AQ75="N/A","1",VLOOKUP(AQ75,'11. Lists'!$I$47:$K$80,3,FALSE)))</f>
        <v/>
      </c>
      <c r="AS75" s="532" t="str">
        <f>IF(D75="","",IF(AX75="Condition","N/A",VLOOKUP(F75,'10. Condition and Temporal'!$B$6:$M$106,12,FALSE)))</f>
        <v/>
      </c>
      <c r="AT75" s="119" t="str">
        <f>IF(AS75="","",IF(AS75="N/A","1",VLOOKUP(AS75,'11. Lists'!$I$47:$K$80,3,FALSE)))</f>
        <v/>
      </c>
      <c r="AU75" s="115" t="str">
        <f>IF(D75="","",VLOOKUP(F75,'9. All Habitats + Multipliers'!$C$4:$K$102,8,FALSE))</f>
        <v/>
      </c>
      <c r="AV75" s="116" t="str">
        <f>IF(AU75="","",VLOOKUP(AU75,'11. Lists'!$J$35:$K$38,2,FALSE))</f>
        <v/>
      </c>
      <c r="AW75" s="181" t="str">
        <f>IF(D75="","",VLOOKUP(D75,'10. Condition and Temporal'!$B$6:$M$103,4,FALSE))</f>
        <v/>
      </c>
      <c r="AX75" s="181" t="str">
        <f t="shared" si="21"/>
        <v/>
      </c>
      <c r="AY75" s="471"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8" t="str">
        <f t="shared" si="49"/>
        <v/>
      </c>
      <c r="BW75" s="95" t="s">
        <v>173</v>
      </c>
      <c r="BX75" s="95">
        <f>BI66</f>
        <v>0</v>
      </c>
    </row>
    <row r="76" spans="1:76" s="25" customFormat="1" ht="15.6">
      <c r="A76" s="89"/>
      <c r="B76" s="268">
        <v>9</v>
      </c>
      <c r="C76" s="120" t="str">
        <f t="shared" si="11"/>
        <v/>
      </c>
      <c r="D76" s="212" t="str">
        <f t="shared" si="42"/>
        <v/>
      </c>
      <c r="E76" s="170" t="str">
        <f t="shared" si="12"/>
        <v/>
      </c>
      <c r="F76" s="818"/>
      <c r="G76" s="819"/>
      <c r="H76" s="167" t="str">
        <f t="shared" si="13"/>
        <v/>
      </c>
      <c r="I76" s="325" t="str">
        <f t="shared" si="43"/>
        <v/>
      </c>
      <c r="J76" s="800" t="str">
        <f>IFERROR(IF(F76="","",VLOOKUP(F76,'10. Condition and Temporal'!$B$6:$F$103,5,FALSE)), "Error ▲")</f>
        <v/>
      </c>
      <c r="K76" s="801"/>
      <c r="L76" s="287" t="str">
        <f t="shared" si="44"/>
        <v/>
      </c>
      <c r="M76" s="689" t="str">
        <f t="shared" si="45"/>
        <v/>
      </c>
      <c r="N76" s="690"/>
      <c r="O76" s="74"/>
      <c r="P76" s="12"/>
      <c r="R76" s="733"/>
      <c r="T76" s="181" t="str">
        <f t="shared" si="14"/>
        <v/>
      </c>
      <c r="U76" s="115" t="str">
        <f t="shared" si="46"/>
        <v/>
      </c>
      <c r="V76" s="94" t="str">
        <f t="shared" si="15"/>
        <v/>
      </c>
      <c r="W76" s="93" t="str">
        <f t="shared" si="15"/>
        <v/>
      </c>
      <c r="X76" s="94" t="str">
        <f t="shared" si="15"/>
        <v/>
      </c>
      <c r="Y76" s="376"/>
      <c r="Z76" s="347"/>
      <c r="AA76" s="515"/>
      <c r="AB76" s="93" t="str">
        <f t="shared" si="16"/>
        <v/>
      </c>
      <c r="AC76" s="116" t="str">
        <f t="shared" si="17"/>
        <v/>
      </c>
      <c r="AD76" s="181" t="str">
        <f t="shared" si="50"/>
        <v/>
      </c>
      <c r="AE76" s="181" t="str">
        <f t="shared" si="47"/>
        <v/>
      </c>
      <c r="AF76" s="519" t="str">
        <f t="shared" si="18"/>
        <v/>
      </c>
      <c r="AG76" s="115" t="str">
        <f>IF(D76="","",VLOOKUP(F76,'9. All Habitats + Multipliers'!$C$4:$K$102,5,FALSE))</f>
        <v/>
      </c>
      <c r="AH76" s="348" t="str">
        <f>IF(AG76="","",VLOOKUP(AG76,'11. Lists'!$B$47:$D$49,2,FALSE))</f>
        <v/>
      </c>
      <c r="AI76" s="93" t="str">
        <f t="shared" si="19"/>
        <v/>
      </c>
      <c r="AJ76" s="94" t="str">
        <f>IF(AI76="","",VLOOKUP(AI76,'11. Lists'!$F$47:$G$51,2,FALSE))</f>
        <v/>
      </c>
      <c r="AK76" s="376"/>
      <c r="AL76" s="347"/>
      <c r="AM76" s="515"/>
      <c r="AN76" s="93" t="str">
        <f t="shared" si="20"/>
        <v/>
      </c>
      <c r="AO76" s="95" t="str">
        <f>IF(AN76="","",VLOOKUP(AN76,'11. Lists'!$F$36:$H$38,2,FALSE))</f>
        <v/>
      </c>
      <c r="AP76" s="94" t="str">
        <f>IF(AN76="","",VLOOKUP(AN76,'11. Lists'!$F$36:$H$38,3,FALSE))</f>
        <v/>
      </c>
      <c r="AQ76" s="115" t="str">
        <f>IF(D76="","",IF(AX76="Distinctiveness","N/A",VLOOKUP(F76,'10. Condition and Temporal'!$B$6:$L$103,11,FALSE)))</f>
        <v/>
      </c>
      <c r="AR76" s="119" t="str">
        <f>IF(AQ76="","",IF(AQ76="N/A","1",VLOOKUP(AQ76,'11. Lists'!$I$47:$K$80,3,FALSE)))</f>
        <v/>
      </c>
      <c r="AS76" s="532" t="str">
        <f>IF(D76="","",IF(AX76="Condition","N/A",VLOOKUP(F76,'10. Condition and Temporal'!$B$6:$M$106,12,FALSE)))</f>
        <v/>
      </c>
      <c r="AT76" s="119" t="str">
        <f>IF(AS76="","",IF(AS76="N/A","1",VLOOKUP(AS76,'11. Lists'!$I$47:$K$80,3,FALSE)))</f>
        <v/>
      </c>
      <c r="AU76" s="115" t="str">
        <f>IF(D76="","",VLOOKUP(F76,'9. All Habitats + Multipliers'!$C$4:$K$102,8,FALSE))</f>
        <v/>
      </c>
      <c r="AV76" s="116" t="str">
        <f>IF(AU76="","",VLOOKUP(AU76,'11. Lists'!$J$35:$K$38,2,FALSE))</f>
        <v/>
      </c>
      <c r="AW76" s="181" t="str">
        <f>IF(D76="","",VLOOKUP(D76,'10. Condition and Temporal'!$B$6:$M$103,4,FALSE))</f>
        <v/>
      </c>
      <c r="AX76" s="181" t="str">
        <f t="shared" si="21"/>
        <v/>
      </c>
      <c r="AY76" s="471"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8" t="str">
        <f t="shared" si="49"/>
        <v/>
      </c>
      <c r="BW76" s="95" t="s">
        <v>174</v>
      </c>
      <c r="BX76" s="95">
        <f>BJ66</f>
        <v>0</v>
      </c>
    </row>
    <row r="77" spans="1:76" s="25" customFormat="1" ht="15.6">
      <c r="A77" s="89"/>
      <c r="B77" s="268">
        <v>10</v>
      </c>
      <c r="C77" s="120" t="str">
        <f t="shared" si="11"/>
        <v/>
      </c>
      <c r="D77" s="212" t="str">
        <f t="shared" si="42"/>
        <v/>
      </c>
      <c r="E77" s="170" t="str">
        <f t="shared" si="12"/>
        <v/>
      </c>
      <c r="F77" s="818"/>
      <c r="G77" s="819"/>
      <c r="H77" s="167" t="str">
        <f t="shared" si="13"/>
        <v/>
      </c>
      <c r="I77" s="325" t="str">
        <f t="shared" si="43"/>
        <v/>
      </c>
      <c r="J77" s="800" t="str">
        <f>IFERROR(IF(F77="","",VLOOKUP(F77,'10. Condition and Temporal'!$B$6:$F$103,5,FALSE)), "Error ▲")</f>
        <v/>
      </c>
      <c r="K77" s="801"/>
      <c r="L77" s="287" t="str">
        <f t="shared" si="44"/>
        <v/>
      </c>
      <c r="M77" s="689" t="str">
        <f t="shared" si="45"/>
        <v/>
      </c>
      <c r="N77" s="690"/>
      <c r="O77" s="74"/>
      <c r="P77" s="12"/>
      <c r="R77" s="733"/>
      <c r="T77" s="181" t="str">
        <f t="shared" si="14"/>
        <v/>
      </c>
      <c r="U77" s="115" t="str">
        <f t="shared" si="46"/>
        <v/>
      </c>
      <c r="V77" s="94" t="str">
        <f t="shared" si="15"/>
        <v/>
      </c>
      <c r="W77" s="93" t="str">
        <f t="shared" si="15"/>
        <v/>
      </c>
      <c r="X77" s="94" t="str">
        <f t="shared" si="15"/>
        <v/>
      </c>
      <c r="Y77" s="376"/>
      <c r="Z77" s="347"/>
      <c r="AA77" s="515"/>
      <c r="AB77" s="93" t="str">
        <f t="shared" si="16"/>
        <v/>
      </c>
      <c r="AC77" s="116" t="str">
        <f t="shared" si="17"/>
        <v/>
      </c>
      <c r="AD77" s="181" t="str">
        <f t="shared" si="50"/>
        <v/>
      </c>
      <c r="AE77" s="181" t="str">
        <f t="shared" si="47"/>
        <v/>
      </c>
      <c r="AF77" s="519" t="str">
        <f t="shared" si="18"/>
        <v/>
      </c>
      <c r="AG77" s="115" t="str">
        <f>IF(D77="","",VLOOKUP(F77,'9. All Habitats + Multipliers'!$C$4:$K$102,5,FALSE))</f>
        <v/>
      </c>
      <c r="AH77" s="348" t="str">
        <f>IF(AG77="","",VLOOKUP(AG77,'11. Lists'!$B$47:$D$49,2,FALSE))</f>
        <v/>
      </c>
      <c r="AI77" s="93" t="str">
        <f t="shared" si="19"/>
        <v/>
      </c>
      <c r="AJ77" s="94" t="str">
        <f>IF(AI77="","",VLOOKUP(AI77,'11. Lists'!$F$47:$G$51,2,FALSE))</f>
        <v/>
      </c>
      <c r="AK77" s="376"/>
      <c r="AL77" s="347"/>
      <c r="AM77" s="515"/>
      <c r="AN77" s="93" t="str">
        <f t="shared" si="20"/>
        <v/>
      </c>
      <c r="AO77" s="95" t="str">
        <f>IF(AN77="","",VLOOKUP(AN77,'11. Lists'!$F$36:$H$38,2,FALSE))</f>
        <v/>
      </c>
      <c r="AP77" s="94" t="str">
        <f>IF(AN77="","",VLOOKUP(AN77,'11. Lists'!$F$36:$H$38,3,FALSE))</f>
        <v/>
      </c>
      <c r="AQ77" s="115" t="str">
        <f>IF(D77="","",IF(AX77="Distinctiveness","N/A",VLOOKUP(F77,'10. Condition and Temporal'!$B$6:$L$103,11,FALSE)))</f>
        <v/>
      </c>
      <c r="AR77" s="119" t="str">
        <f>IF(AQ77="","",IF(AQ77="N/A","1",VLOOKUP(AQ77,'11. Lists'!$I$47:$K$80,3,FALSE)))</f>
        <v/>
      </c>
      <c r="AS77" s="532" t="str">
        <f>IF(D77="","",IF(AX77="Condition","N/A",VLOOKUP(F77,'10. Condition and Temporal'!$B$6:$M$106,12,FALSE)))</f>
        <v/>
      </c>
      <c r="AT77" s="119" t="str">
        <f>IF(AS77="","",IF(AS77="N/A","1",VLOOKUP(AS77,'11. Lists'!$I$47:$K$80,3,FALSE)))</f>
        <v/>
      </c>
      <c r="AU77" s="115" t="str">
        <f>IF(D77="","",VLOOKUP(F77,'9. All Habitats + Multipliers'!$C$4:$K$102,8,FALSE))</f>
        <v/>
      </c>
      <c r="AV77" s="116" t="str">
        <f>IF(AU77="","",VLOOKUP(AU77,'11. Lists'!$J$35:$K$38,2,FALSE))</f>
        <v/>
      </c>
      <c r="AW77" s="181" t="str">
        <f>IF(D77="","",VLOOKUP(D77,'10. Condition and Temporal'!$B$6:$M$103,4,FALSE))</f>
        <v/>
      </c>
      <c r="AX77" s="181" t="str">
        <f t="shared" si="21"/>
        <v/>
      </c>
      <c r="AY77" s="471"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8" t="str">
        <f t="shared" si="49"/>
        <v/>
      </c>
      <c r="BW77" s="95" t="s">
        <v>175</v>
      </c>
      <c r="BX77" s="95">
        <f>BK66</f>
        <v>0</v>
      </c>
    </row>
    <row r="78" spans="1:76" s="25" customFormat="1" ht="15.6">
      <c r="A78" s="89"/>
      <c r="B78" s="268">
        <v>11</v>
      </c>
      <c r="C78" s="120" t="str">
        <f t="shared" si="11"/>
        <v/>
      </c>
      <c r="D78" s="212" t="str">
        <f t="shared" si="42"/>
        <v/>
      </c>
      <c r="E78" s="170" t="str">
        <f t="shared" si="12"/>
        <v/>
      </c>
      <c r="F78" s="818"/>
      <c r="G78" s="819"/>
      <c r="H78" s="167" t="str">
        <f t="shared" si="13"/>
        <v/>
      </c>
      <c r="I78" s="325" t="str">
        <f t="shared" si="43"/>
        <v/>
      </c>
      <c r="J78" s="800" t="str">
        <f>IFERROR(IF(F78="","",VLOOKUP(F78,'10. Condition and Temporal'!$B$6:$F$103,5,FALSE)), "Error ▲")</f>
        <v/>
      </c>
      <c r="K78" s="801"/>
      <c r="L78" s="287" t="str">
        <f t="shared" si="44"/>
        <v/>
      </c>
      <c r="M78" s="689" t="str">
        <f t="shared" si="45"/>
        <v/>
      </c>
      <c r="N78" s="690"/>
      <c r="O78" s="74"/>
      <c r="P78" s="12"/>
      <c r="R78" s="733"/>
      <c r="T78" s="181" t="str">
        <f t="shared" si="14"/>
        <v/>
      </c>
      <c r="U78" s="115" t="str">
        <f t="shared" si="46"/>
        <v/>
      </c>
      <c r="V78" s="94" t="str">
        <f t="shared" si="15"/>
        <v/>
      </c>
      <c r="W78" s="93" t="str">
        <f t="shared" si="15"/>
        <v/>
      </c>
      <c r="X78" s="94" t="str">
        <f t="shared" si="15"/>
        <v/>
      </c>
      <c r="Y78" s="376"/>
      <c r="Z78" s="347"/>
      <c r="AA78" s="515"/>
      <c r="AB78" s="93" t="str">
        <f t="shared" si="16"/>
        <v/>
      </c>
      <c r="AC78" s="116" t="str">
        <f t="shared" si="17"/>
        <v/>
      </c>
      <c r="AD78" s="181" t="str">
        <f t="shared" si="50"/>
        <v/>
      </c>
      <c r="AE78" s="181" t="str">
        <f t="shared" si="47"/>
        <v/>
      </c>
      <c r="AF78" s="519" t="str">
        <f t="shared" si="18"/>
        <v/>
      </c>
      <c r="AG78" s="115" t="str">
        <f>IF(D78="","",VLOOKUP(F78,'9. All Habitats + Multipliers'!$C$4:$K$102,5,FALSE))</f>
        <v/>
      </c>
      <c r="AH78" s="348" t="str">
        <f>IF(AG78="","",VLOOKUP(AG78,'11. Lists'!$B$47:$D$49,2,FALSE))</f>
        <v/>
      </c>
      <c r="AI78" s="93" t="str">
        <f t="shared" si="19"/>
        <v/>
      </c>
      <c r="AJ78" s="94" t="str">
        <f>IF(AI78="","",VLOOKUP(AI78,'11. Lists'!$F$47:$G$51,2,FALSE))</f>
        <v/>
      </c>
      <c r="AK78" s="376"/>
      <c r="AL78" s="347"/>
      <c r="AM78" s="515"/>
      <c r="AN78" s="93" t="str">
        <f t="shared" si="20"/>
        <v/>
      </c>
      <c r="AO78" s="95" t="str">
        <f>IF(AN78="","",VLOOKUP(AN78,'11. Lists'!$F$36:$H$38,2,FALSE))</f>
        <v/>
      </c>
      <c r="AP78" s="94" t="str">
        <f>IF(AN78="","",VLOOKUP(AN78,'11. Lists'!$F$36:$H$38,3,FALSE))</f>
        <v/>
      </c>
      <c r="AQ78" s="115" t="str">
        <f>IF(D78="","",IF(AX78="Distinctiveness","N/A",VLOOKUP(F78,'10. Condition and Temporal'!$B$6:$L$103,11,FALSE)))</f>
        <v/>
      </c>
      <c r="AR78" s="119" t="str">
        <f>IF(AQ78="","",IF(AQ78="N/A","1",VLOOKUP(AQ78,'11. Lists'!$I$47:$K$80,3,FALSE)))</f>
        <v/>
      </c>
      <c r="AS78" s="532" t="str">
        <f>IF(D78="","",IF(AX78="Condition","N/A",VLOOKUP(F78,'10. Condition and Temporal'!$B$6:$M$106,12,FALSE)))</f>
        <v/>
      </c>
      <c r="AT78" s="119" t="str">
        <f>IF(AS78="","",IF(AS78="N/A","1",VLOOKUP(AS78,'11. Lists'!$I$47:$K$80,3,FALSE)))</f>
        <v/>
      </c>
      <c r="AU78" s="115" t="str">
        <f>IF(D78="","",VLOOKUP(F78,'9. All Habitats + Multipliers'!$C$4:$K$102,8,FALSE))</f>
        <v/>
      </c>
      <c r="AV78" s="116" t="str">
        <f>IF(AU78="","",VLOOKUP(AU78,'11. Lists'!$J$35:$K$38,2,FALSE))</f>
        <v/>
      </c>
      <c r="AW78" s="181" t="str">
        <f>IF(D78="","",VLOOKUP(D78,'10. Condition and Temporal'!$B$6:$M$103,4,FALSE))</f>
        <v/>
      </c>
      <c r="AX78" s="181" t="str">
        <f t="shared" si="21"/>
        <v/>
      </c>
      <c r="AY78" s="471"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8" t="str">
        <f t="shared" si="49"/>
        <v/>
      </c>
      <c r="BW78" s="95" t="s">
        <v>176</v>
      </c>
      <c r="BX78" s="95">
        <f>BL66</f>
        <v>0</v>
      </c>
    </row>
    <row r="79" spans="1:76" s="25" customFormat="1" ht="15.6">
      <c r="A79" s="89"/>
      <c r="B79" s="268">
        <v>12</v>
      </c>
      <c r="C79" s="120" t="str">
        <f t="shared" si="11"/>
        <v/>
      </c>
      <c r="D79" s="212" t="str">
        <f t="shared" si="42"/>
        <v/>
      </c>
      <c r="E79" s="170" t="str">
        <f t="shared" si="12"/>
        <v/>
      </c>
      <c r="F79" s="818"/>
      <c r="G79" s="819"/>
      <c r="H79" s="167" t="str">
        <f t="shared" si="13"/>
        <v/>
      </c>
      <c r="I79" s="325" t="str">
        <f t="shared" si="43"/>
        <v/>
      </c>
      <c r="J79" s="800" t="str">
        <f>IFERROR(IF(F79="","",VLOOKUP(F79,'10. Condition and Temporal'!$B$6:$F$103,5,FALSE)), "Error ▲")</f>
        <v/>
      </c>
      <c r="K79" s="801"/>
      <c r="L79" s="287" t="str">
        <f t="shared" si="44"/>
        <v/>
      </c>
      <c r="M79" s="689" t="str">
        <f t="shared" si="45"/>
        <v/>
      </c>
      <c r="N79" s="690"/>
      <c r="O79" s="74"/>
      <c r="P79" s="12"/>
      <c r="R79" s="733"/>
      <c r="T79" s="181" t="str">
        <f t="shared" si="14"/>
        <v/>
      </c>
      <c r="U79" s="115" t="str">
        <f t="shared" si="46"/>
        <v/>
      </c>
      <c r="V79" s="94" t="str">
        <f t="shared" si="15"/>
        <v/>
      </c>
      <c r="W79" s="93" t="str">
        <f t="shared" si="15"/>
        <v/>
      </c>
      <c r="X79" s="94" t="str">
        <f t="shared" si="15"/>
        <v/>
      </c>
      <c r="Y79" s="376"/>
      <c r="Z79" s="347"/>
      <c r="AA79" s="515"/>
      <c r="AB79" s="93" t="str">
        <f t="shared" si="16"/>
        <v/>
      </c>
      <c r="AC79" s="116" t="str">
        <f t="shared" si="17"/>
        <v/>
      </c>
      <c r="AD79" s="181" t="str">
        <f t="shared" si="50"/>
        <v/>
      </c>
      <c r="AE79" s="181" t="str">
        <f t="shared" si="47"/>
        <v/>
      </c>
      <c r="AF79" s="519" t="str">
        <f t="shared" si="18"/>
        <v/>
      </c>
      <c r="AG79" s="115" t="str">
        <f>IF(D79="","",VLOOKUP(F79,'9. All Habitats + Multipliers'!$C$4:$K$102,5,FALSE))</f>
        <v/>
      </c>
      <c r="AH79" s="348" t="str">
        <f>IF(AG79="","",VLOOKUP(AG79,'11. Lists'!$B$47:$D$49,2,FALSE))</f>
        <v/>
      </c>
      <c r="AI79" s="93" t="str">
        <f t="shared" si="19"/>
        <v/>
      </c>
      <c r="AJ79" s="94" t="str">
        <f>IF(AI79="","",VLOOKUP(AI79,'11. Lists'!$F$47:$G$51,2,FALSE))</f>
        <v/>
      </c>
      <c r="AK79" s="376"/>
      <c r="AL79" s="347"/>
      <c r="AM79" s="515"/>
      <c r="AN79" s="93" t="str">
        <f t="shared" si="20"/>
        <v/>
      </c>
      <c r="AO79" s="95" t="str">
        <f>IF(AN79="","",VLOOKUP(AN79,'11. Lists'!$F$36:$H$38,2,FALSE))</f>
        <v/>
      </c>
      <c r="AP79" s="94" t="str">
        <f>IF(AN79="","",VLOOKUP(AN79,'11. Lists'!$F$36:$H$38,3,FALSE))</f>
        <v/>
      </c>
      <c r="AQ79" s="115" t="str">
        <f>IF(D79="","",IF(AX79="Distinctiveness","N/A",VLOOKUP(F79,'10. Condition and Temporal'!$B$6:$L$103,11,FALSE)))</f>
        <v/>
      </c>
      <c r="AR79" s="119" t="str">
        <f>IF(AQ79="","",IF(AQ79="N/A","1",VLOOKUP(AQ79,'11. Lists'!$I$47:$K$80,3,FALSE)))</f>
        <v/>
      </c>
      <c r="AS79" s="532" t="str">
        <f>IF(D79="","",IF(AX79="Condition","N/A",VLOOKUP(F79,'10. Condition and Temporal'!$B$6:$M$106,12,FALSE)))</f>
        <v/>
      </c>
      <c r="AT79" s="119" t="str">
        <f>IF(AS79="","",IF(AS79="N/A","1",VLOOKUP(AS79,'11. Lists'!$I$47:$K$80,3,FALSE)))</f>
        <v/>
      </c>
      <c r="AU79" s="115" t="str">
        <f>IF(D79="","",VLOOKUP(F79,'9. All Habitats + Multipliers'!$C$4:$K$102,8,FALSE))</f>
        <v/>
      </c>
      <c r="AV79" s="116" t="str">
        <f>IF(AU79="","",VLOOKUP(AU79,'11. Lists'!$J$35:$K$38,2,FALSE))</f>
        <v/>
      </c>
      <c r="AW79" s="181" t="str">
        <f>IF(D79="","",VLOOKUP(D79,'10. Condition and Temporal'!$B$6:$M$103,4,FALSE))</f>
        <v/>
      </c>
      <c r="AX79" s="181" t="str">
        <f t="shared" si="21"/>
        <v/>
      </c>
      <c r="AY79" s="471"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8" t="str">
        <f t="shared" si="49"/>
        <v/>
      </c>
      <c r="BW79" s="95" t="s">
        <v>177</v>
      </c>
      <c r="BX79" s="95">
        <f>BM66</f>
        <v>0</v>
      </c>
    </row>
    <row r="80" spans="1:76" s="25" customFormat="1" ht="15.6">
      <c r="A80" s="89"/>
      <c r="B80" s="268">
        <v>13</v>
      </c>
      <c r="C80" s="120" t="str">
        <f t="shared" si="11"/>
        <v/>
      </c>
      <c r="D80" s="212" t="str">
        <f t="shared" si="42"/>
        <v/>
      </c>
      <c r="E80" s="170" t="str">
        <f t="shared" si="12"/>
        <v/>
      </c>
      <c r="F80" s="818"/>
      <c r="G80" s="819"/>
      <c r="H80" s="167" t="str">
        <f t="shared" si="13"/>
        <v/>
      </c>
      <c r="I80" s="325" t="str">
        <f t="shared" si="43"/>
        <v/>
      </c>
      <c r="J80" s="800" t="str">
        <f>IFERROR(IF(F80="","",VLOOKUP(F80,'10. Condition and Temporal'!$B$6:$F$103,5,FALSE)), "Error ▲")</f>
        <v/>
      </c>
      <c r="K80" s="801"/>
      <c r="L80" s="287" t="str">
        <f t="shared" si="44"/>
        <v/>
      </c>
      <c r="M80" s="689" t="str">
        <f t="shared" si="45"/>
        <v/>
      </c>
      <c r="N80" s="690"/>
      <c r="O80" s="74"/>
      <c r="P80" s="12"/>
      <c r="R80" s="733"/>
      <c r="T80" s="181" t="str">
        <f t="shared" si="14"/>
        <v/>
      </c>
      <c r="U80" s="115" t="str">
        <f t="shared" si="46"/>
        <v/>
      </c>
      <c r="V80" s="94" t="str">
        <f t="shared" si="15"/>
        <v/>
      </c>
      <c r="W80" s="93" t="str">
        <f t="shared" si="15"/>
        <v/>
      </c>
      <c r="X80" s="94" t="str">
        <f t="shared" si="15"/>
        <v/>
      </c>
      <c r="Y80" s="376"/>
      <c r="Z80" s="347"/>
      <c r="AA80" s="515"/>
      <c r="AB80" s="93" t="str">
        <f t="shared" si="16"/>
        <v/>
      </c>
      <c r="AC80" s="116" t="str">
        <f t="shared" si="17"/>
        <v/>
      </c>
      <c r="AD80" s="181" t="str">
        <f t="shared" si="50"/>
        <v/>
      </c>
      <c r="AE80" s="181" t="str">
        <f t="shared" si="47"/>
        <v/>
      </c>
      <c r="AF80" s="519" t="str">
        <f t="shared" si="18"/>
        <v/>
      </c>
      <c r="AG80" s="115" t="str">
        <f>IF(D80="","",VLOOKUP(F80,'9. All Habitats + Multipliers'!$C$4:$K$102,5,FALSE))</f>
        <v/>
      </c>
      <c r="AH80" s="348" t="str">
        <f>IF(AG80="","",VLOOKUP(AG80,'11. Lists'!$B$47:$D$49,2,FALSE))</f>
        <v/>
      </c>
      <c r="AI80" s="93" t="str">
        <f t="shared" si="19"/>
        <v/>
      </c>
      <c r="AJ80" s="94" t="str">
        <f>IF(AI80="","",VLOOKUP(AI80,'11. Lists'!$F$47:$G$51,2,FALSE))</f>
        <v/>
      </c>
      <c r="AK80" s="376"/>
      <c r="AL80" s="347"/>
      <c r="AM80" s="515"/>
      <c r="AN80" s="93" t="str">
        <f t="shared" si="20"/>
        <v/>
      </c>
      <c r="AO80" s="95" t="str">
        <f>IF(AN80="","",VLOOKUP(AN80,'11. Lists'!$F$36:$H$38,2,FALSE))</f>
        <v/>
      </c>
      <c r="AP80" s="94" t="str">
        <f>IF(AN80="","",VLOOKUP(AN80,'11. Lists'!$F$36:$H$38,3,FALSE))</f>
        <v/>
      </c>
      <c r="AQ80" s="115" t="str">
        <f>IF(D80="","",IF(AX80="Distinctiveness","N/A",VLOOKUP(F80,'10. Condition and Temporal'!$B$6:$L$103,11,FALSE)))</f>
        <v/>
      </c>
      <c r="AR80" s="119" t="str">
        <f>IF(AQ80="","",IF(AQ80="N/A","1",VLOOKUP(AQ80,'11. Lists'!$I$47:$K$80,3,FALSE)))</f>
        <v/>
      </c>
      <c r="AS80" s="532" t="str">
        <f>IF(D80="","",IF(AX80="Condition","N/A",VLOOKUP(F80,'10. Condition and Temporal'!$B$6:$M$106,12,FALSE)))</f>
        <v/>
      </c>
      <c r="AT80" s="119" t="str">
        <f>IF(AS80="","",IF(AS80="N/A","1",VLOOKUP(AS80,'11. Lists'!$I$47:$K$80,3,FALSE)))</f>
        <v/>
      </c>
      <c r="AU80" s="115" t="str">
        <f>IF(D80="","",VLOOKUP(F80,'9. All Habitats + Multipliers'!$C$4:$K$102,8,FALSE))</f>
        <v/>
      </c>
      <c r="AV80" s="116" t="str">
        <f>IF(AU80="","",VLOOKUP(AU80,'11. Lists'!$J$35:$K$38,2,FALSE))</f>
        <v/>
      </c>
      <c r="AW80" s="181" t="str">
        <f>IF(D80="","",VLOOKUP(D80,'10. Condition and Temporal'!$B$6:$M$103,4,FALSE))</f>
        <v/>
      </c>
      <c r="AX80" s="181" t="str">
        <f t="shared" si="21"/>
        <v/>
      </c>
      <c r="AY80" s="471"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8" t="str">
        <f t="shared" si="49"/>
        <v/>
      </c>
      <c r="BW80" s="95" t="s">
        <v>178</v>
      </c>
      <c r="BX80" s="95">
        <f>BN66</f>
        <v>0</v>
      </c>
    </row>
    <row r="81" spans="1:76" s="25" customFormat="1" ht="15.6">
      <c r="A81" s="89"/>
      <c r="B81" s="268">
        <v>14</v>
      </c>
      <c r="C81" s="120" t="str">
        <f t="shared" si="11"/>
        <v/>
      </c>
      <c r="D81" s="212" t="str">
        <f t="shared" si="42"/>
        <v/>
      </c>
      <c r="E81" s="170" t="str">
        <f t="shared" si="12"/>
        <v/>
      </c>
      <c r="F81" s="818"/>
      <c r="G81" s="819"/>
      <c r="H81" s="167" t="str">
        <f t="shared" si="13"/>
        <v/>
      </c>
      <c r="I81" s="325" t="str">
        <f t="shared" si="43"/>
        <v/>
      </c>
      <c r="J81" s="800" t="str">
        <f>IFERROR(IF(F81="","",VLOOKUP(F81,'10. Condition and Temporal'!$B$6:$F$103,5,FALSE)), "Error ▲")</f>
        <v/>
      </c>
      <c r="K81" s="801"/>
      <c r="L81" s="287" t="str">
        <f t="shared" si="44"/>
        <v/>
      </c>
      <c r="M81" s="689" t="str">
        <f t="shared" si="45"/>
        <v/>
      </c>
      <c r="N81" s="690"/>
      <c r="O81" s="74"/>
      <c r="P81" s="12"/>
      <c r="R81" s="733"/>
      <c r="T81" s="181" t="str">
        <f t="shared" si="14"/>
        <v/>
      </c>
      <c r="U81" s="115" t="str">
        <f t="shared" si="46"/>
        <v/>
      </c>
      <c r="V81" s="94" t="str">
        <f t="shared" si="15"/>
        <v/>
      </c>
      <c r="W81" s="93" t="str">
        <f t="shared" si="15"/>
        <v/>
      </c>
      <c r="X81" s="94" t="str">
        <f t="shared" si="15"/>
        <v/>
      </c>
      <c r="Y81" s="376"/>
      <c r="Z81" s="347"/>
      <c r="AA81" s="515"/>
      <c r="AB81" s="93" t="str">
        <f t="shared" si="16"/>
        <v/>
      </c>
      <c r="AC81" s="116" t="str">
        <f t="shared" si="17"/>
        <v/>
      </c>
      <c r="AD81" s="181" t="str">
        <f t="shared" si="50"/>
        <v/>
      </c>
      <c r="AE81" s="181" t="str">
        <f t="shared" si="47"/>
        <v/>
      </c>
      <c r="AF81" s="519" t="str">
        <f t="shared" si="18"/>
        <v/>
      </c>
      <c r="AG81" s="115" t="str">
        <f>IF(D81="","",VLOOKUP(F81,'9. All Habitats + Multipliers'!$C$4:$K$102,5,FALSE))</f>
        <v/>
      </c>
      <c r="AH81" s="348" t="str">
        <f>IF(AG81="","",VLOOKUP(AG81,'11. Lists'!$B$47:$D$49,2,FALSE))</f>
        <v/>
      </c>
      <c r="AI81" s="93" t="str">
        <f t="shared" si="19"/>
        <v/>
      </c>
      <c r="AJ81" s="94" t="str">
        <f>IF(AI81="","",VLOOKUP(AI81,'11. Lists'!$F$47:$G$51,2,FALSE))</f>
        <v/>
      </c>
      <c r="AK81" s="376"/>
      <c r="AL81" s="347"/>
      <c r="AM81" s="515"/>
      <c r="AN81" s="93" t="str">
        <f t="shared" si="20"/>
        <v/>
      </c>
      <c r="AO81" s="95" t="str">
        <f>IF(AN81="","",VLOOKUP(AN81,'11. Lists'!$F$36:$H$38,2,FALSE))</f>
        <v/>
      </c>
      <c r="AP81" s="94" t="str">
        <f>IF(AN81="","",VLOOKUP(AN81,'11. Lists'!$F$36:$H$38,3,FALSE))</f>
        <v/>
      </c>
      <c r="AQ81" s="115" t="str">
        <f>IF(D81="","",IF(AX81="Distinctiveness","N/A",VLOOKUP(F81,'10. Condition and Temporal'!$B$6:$L$103,11,FALSE)))</f>
        <v/>
      </c>
      <c r="AR81" s="119" t="str">
        <f>IF(AQ81="","",IF(AQ81="N/A","1",VLOOKUP(AQ81,'11. Lists'!$I$47:$K$80,3,FALSE)))</f>
        <v/>
      </c>
      <c r="AS81" s="532" t="str">
        <f>IF(D81="","",IF(AX81="Condition","N/A",VLOOKUP(F81,'10. Condition and Temporal'!$B$6:$M$106,12,FALSE)))</f>
        <v/>
      </c>
      <c r="AT81" s="119" t="str">
        <f>IF(AS81="","",IF(AS81="N/A","1",VLOOKUP(AS81,'11. Lists'!$I$47:$K$80,3,FALSE)))</f>
        <v/>
      </c>
      <c r="AU81" s="115" t="str">
        <f>IF(D81="","",VLOOKUP(F81,'9. All Habitats + Multipliers'!$C$4:$K$102,8,FALSE))</f>
        <v/>
      </c>
      <c r="AV81" s="116" t="str">
        <f>IF(AU81="","",VLOOKUP(AU81,'11. Lists'!$J$35:$K$38,2,FALSE))</f>
        <v/>
      </c>
      <c r="AW81" s="181" t="str">
        <f>IF(D81="","",VLOOKUP(D81,'10. Condition and Temporal'!$B$6:$M$103,4,FALSE))</f>
        <v/>
      </c>
      <c r="AX81" s="181" t="str">
        <f t="shared" si="21"/>
        <v/>
      </c>
      <c r="AY81" s="471"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8" t="str">
        <f t="shared" si="49"/>
        <v/>
      </c>
      <c r="BW81" s="95" t="s">
        <v>179</v>
      </c>
      <c r="BX81" s="95">
        <f>BO66</f>
        <v>0</v>
      </c>
    </row>
    <row r="82" spans="1:76" s="25" customFormat="1" ht="15.6">
      <c r="A82" s="89"/>
      <c r="B82" s="268">
        <v>15</v>
      </c>
      <c r="C82" s="120" t="str">
        <f t="shared" si="11"/>
        <v/>
      </c>
      <c r="D82" s="212" t="str">
        <f t="shared" si="42"/>
        <v/>
      </c>
      <c r="E82" s="170" t="str">
        <f t="shared" si="12"/>
        <v/>
      </c>
      <c r="F82" s="818"/>
      <c r="G82" s="819"/>
      <c r="H82" s="167" t="str">
        <f t="shared" si="13"/>
        <v/>
      </c>
      <c r="I82" s="325" t="str">
        <f t="shared" si="43"/>
        <v/>
      </c>
      <c r="J82" s="800" t="str">
        <f>IFERROR(IF(F82="","",VLOOKUP(F82,'10. Condition and Temporal'!$B$6:$F$103,5,FALSE)), "Error ▲")</f>
        <v/>
      </c>
      <c r="K82" s="801"/>
      <c r="L82" s="287" t="str">
        <f t="shared" si="44"/>
        <v/>
      </c>
      <c r="M82" s="689" t="str">
        <f t="shared" si="45"/>
        <v/>
      </c>
      <c r="N82" s="690"/>
      <c r="O82" s="74"/>
      <c r="P82" s="12"/>
      <c r="R82" s="733"/>
      <c r="T82" s="181" t="str">
        <f t="shared" si="14"/>
        <v/>
      </c>
      <c r="U82" s="115" t="str">
        <f t="shared" si="46"/>
        <v/>
      </c>
      <c r="V82" s="94" t="str">
        <f t="shared" si="15"/>
        <v/>
      </c>
      <c r="W82" s="93" t="str">
        <f t="shared" si="15"/>
        <v/>
      </c>
      <c r="X82" s="94" t="str">
        <f t="shared" si="15"/>
        <v/>
      </c>
      <c r="Y82" s="376"/>
      <c r="Z82" s="347"/>
      <c r="AA82" s="515"/>
      <c r="AB82" s="93" t="str">
        <f t="shared" si="16"/>
        <v/>
      </c>
      <c r="AC82" s="116" t="str">
        <f t="shared" si="17"/>
        <v/>
      </c>
      <c r="AD82" s="181" t="str">
        <f t="shared" si="50"/>
        <v/>
      </c>
      <c r="AE82" s="181" t="str">
        <f t="shared" si="47"/>
        <v/>
      </c>
      <c r="AF82" s="519" t="str">
        <f t="shared" si="18"/>
        <v/>
      </c>
      <c r="AG82" s="115" t="str">
        <f>IF(D82="","",VLOOKUP(F82,'9. All Habitats + Multipliers'!$C$4:$K$102,5,FALSE))</f>
        <v/>
      </c>
      <c r="AH82" s="348" t="str">
        <f>IF(AG82="","",VLOOKUP(AG82,'11. Lists'!$B$47:$D$49,2,FALSE))</f>
        <v/>
      </c>
      <c r="AI82" s="93" t="str">
        <f t="shared" si="19"/>
        <v/>
      </c>
      <c r="AJ82" s="94" t="str">
        <f>IF(AI82="","",VLOOKUP(AI82,'11. Lists'!$F$47:$G$51,2,FALSE))</f>
        <v/>
      </c>
      <c r="AK82" s="376"/>
      <c r="AL82" s="347"/>
      <c r="AM82" s="515"/>
      <c r="AN82" s="93" t="str">
        <f t="shared" si="20"/>
        <v/>
      </c>
      <c r="AO82" s="95" t="str">
        <f>IF(AN82="","",VLOOKUP(AN82,'11. Lists'!$F$36:$H$38,2,FALSE))</f>
        <v/>
      </c>
      <c r="AP82" s="94" t="str">
        <f>IF(AN82="","",VLOOKUP(AN82,'11. Lists'!$F$36:$H$38,3,FALSE))</f>
        <v/>
      </c>
      <c r="AQ82" s="115" t="str">
        <f>IF(D82="","",IF(AX82="Distinctiveness","N/A",VLOOKUP(F82,'10. Condition and Temporal'!$B$6:$L$103,11,FALSE)))</f>
        <v/>
      </c>
      <c r="AR82" s="119" t="str">
        <f>IF(AQ82="","",IF(AQ82="N/A","1",VLOOKUP(AQ82,'11. Lists'!$I$47:$K$80,3,FALSE)))</f>
        <v/>
      </c>
      <c r="AS82" s="532" t="str">
        <f>IF(D82="","",IF(AX82="Condition","N/A",VLOOKUP(F82,'10. Condition and Temporal'!$B$6:$M$106,12,FALSE)))</f>
        <v/>
      </c>
      <c r="AT82" s="119" t="str">
        <f>IF(AS82="","",IF(AS82="N/A","1",VLOOKUP(AS82,'11. Lists'!$I$47:$K$80,3,FALSE)))</f>
        <v/>
      </c>
      <c r="AU82" s="115" t="str">
        <f>IF(D82="","",VLOOKUP(F82,'9. All Habitats + Multipliers'!$C$4:$K$102,8,FALSE))</f>
        <v/>
      </c>
      <c r="AV82" s="116" t="str">
        <f>IF(AU82="","",VLOOKUP(AU82,'11. Lists'!$J$35:$K$38,2,FALSE))</f>
        <v/>
      </c>
      <c r="AW82" s="181" t="str">
        <f>IF(D82="","",VLOOKUP(D82,'10. Condition and Temporal'!$B$6:$M$103,4,FALSE))</f>
        <v/>
      </c>
      <c r="AX82" s="181" t="str">
        <f t="shared" si="21"/>
        <v/>
      </c>
      <c r="AY82" s="471"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8" t="str">
        <f t="shared" si="49"/>
        <v/>
      </c>
      <c r="BW82" s="95" t="s">
        <v>180</v>
      </c>
      <c r="BX82" s="95">
        <f>BP66</f>
        <v>0</v>
      </c>
    </row>
    <row r="83" spans="1:76" s="25" customFormat="1" ht="15.6">
      <c r="A83" s="89"/>
      <c r="B83" s="268">
        <v>16</v>
      </c>
      <c r="C83" s="120" t="str">
        <f t="shared" si="11"/>
        <v/>
      </c>
      <c r="D83" s="212" t="str">
        <f t="shared" si="42"/>
        <v/>
      </c>
      <c r="E83" s="170" t="str">
        <f t="shared" si="12"/>
        <v/>
      </c>
      <c r="F83" s="818"/>
      <c r="G83" s="819"/>
      <c r="H83" s="167" t="str">
        <f t="shared" si="13"/>
        <v/>
      </c>
      <c r="I83" s="325" t="str">
        <f t="shared" si="43"/>
        <v/>
      </c>
      <c r="J83" s="800" t="str">
        <f>IFERROR(IF(F83="","",VLOOKUP(F83,'10. Condition and Temporal'!$B$6:$F$103,5,FALSE)), "Error ▲")</f>
        <v/>
      </c>
      <c r="K83" s="801"/>
      <c r="L83" s="287" t="str">
        <f t="shared" si="44"/>
        <v/>
      </c>
      <c r="M83" s="689" t="str">
        <f t="shared" si="45"/>
        <v/>
      </c>
      <c r="N83" s="690"/>
      <c r="O83" s="74"/>
      <c r="P83" s="12"/>
      <c r="R83" s="733"/>
      <c r="T83" s="181" t="str">
        <f t="shared" si="14"/>
        <v/>
      </c>
      <c r="U83" s="115" t="str">
        <f t="shared" si="46"/>
        <v/>
      </c>
      <c r="V83" s="94" t="str">
        <f t="shared" si="15"/>
        <v/>
      </c>
      <c r="W83" s="93" t="str">
        <f t="shared" si="15"/>
        <v/>
      </c>
      <c r="X83" s="94" t="str">
        <f t="shared" si="15"/>
        <v/>
      </c>
      <c r="Y83" s="376"/>
      <c r="Z83" s="347"/>
      <c r="AA83" s="515"/>
      <c r="AB83" s="93" t="str">
        <f t="shared" si="16"/>
        <v/>
      </c>
      <c r="AC83" s="116" t="str">
        <f t="shared" si="17"/>
        <v/>
      </c>
      <c r="AD83" s="181" t="str">
        <f t="shared" si="50"/>
        <v/>
      </c>
      <c r="AE83" s="181" t="str">
        <f t="shared" si="47"/>
        <v/>
      </c>
      <c r="AF83" s="519" t="str">
        <f t="shared" si="18"/>
        <v/>
      </c>
      <c r="AG83" s="115" t="str">
        <f>IF(D83="","",VLOOKUP(F83,'9. All Habitats + Multipliers'!$C$4:$K$102,5,FALSE))</f>
        <v/>
      </c>
      <c r="AH83" s="348" t="str">
        <f>IF(AG83="","",VLOOKUP(AG83,'11. Lists'!$B$47:$D$49,2,FALSE))</f>
        <v/>
      </c>
      <c r="AI83" s="93" t="str">
        <f t="shared" si="19"/>
        <v/>
      </c>
      <c r="AJ83" s="94" t="str">
        <f>IF(AI83="","",VLOOKUP(AI83,'11. Lists'!$F$47:$G$51,2,FALSE))</f>
        <v/>
      </c>
      <c r="AK83" s="376"/>
      <c r="AL83" s="347"/>
      <c r="AM83" s="515"/>
      <c r="AN83" s="93" t="str">
        <f t="shared" si="20"/>
        <v/>
      </c>
      <c r="AO83" s="95" t="str">
        <f>IF(AN83="","",VLOOKUP(AN83,'11. Lists'!$F$36:$H$38,2,FALSE))</f>
        <v/>
      </c>
      <c r="AP83" s="94" t="str">
        <f>IF(AN83="","",VLOOKUP(AN83,'11. Lists'!$F$36:$H$38,3,FALSE))</f>
        <v/>
      </c>
      <c r="AQ83" s="115" t="str">
        <f>IF(D83="","",IF(AX83="Distinctiveness","N/A",VLOOKUP(F83,'10. Condition and Temporal'!$B$6:$L$103,11,FALSE)))</f>
        <v/>
      </c>
      <c r="AR83" s="119" t="str">
        <f>IF(AQ83="","",IF(AQ83="N/A","1",VLOOKUP(AQ83,'11. Lists'!$I$47:$K$80,3,FALSE)))</f>
        <v/>
      </c>
      <c r="AS83" s="532" t="str">
        <f>IF(D83="","",IF(AX83="Condition","N/A",VLOOKUP(F83,'10. Condition and Temporal'!$B$6:$M$106,12,FALSE)))</f>
        <v/>
      </c>
      <c r="AT83" s="119" t="str">
        <f>IF(AS83="","",IF(AS83="N/A","1",VLOOKUP(AS83,'11. Lists'!$I$47:$K$80,3,FALSE)))</f>
        <v/>
      </c>
      <c r="AU83" s="115" t="str">
        <f>IF(D83="","",VLOOKUP(F83,'9. All Habitats + Multipliers'!$C$4:$K$102,8,FALSE))</f>
        <v/>
      </c>
      <c r="AV83" s="116" t="str">
        <f>IF(AU83="","",VLOOKUP(AU83,'11. Lists'!$J$35:$K$38,2,FALSE))</f>
        <v/>
      </c>
      <c r="AW83" s="181" t="str">
        <f>IF(D83="","",VLOOKUP(D83,'10. Condition and Temporal'!$B$6:$M$103,4,FALSE))</f>
        <v/>
      </c>
      <c r="AX83" s="181" t="str">
        <f t="shared" si="21"/>
        <v/>
      </c>
      <c r="AY83" s="471"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8" t="str">
        <f t="shared" si="49"/>
        <v/>
      </c>
      <c r="BW83" s="95" t="s">
        <v>181</v>
      </c>
      <c r="BX83" s="95">
        <f>BQ66</f>
        <v>0</v>
      </c>
    </row>
    <row r="84" spans="1:76" s="25" customFormat="1" ht="15.6">
      <c r="A84" s="89"/>
      <c r="B84" s="268">
        <v>17</v>
      </c>
      <c r="C84" s="120" t="str">
        <f t="shared" si="11"/>
        <v/>
      </c>
      <c r="D84" s="212" t="str">
        <f t="shared" si="42"/>
        <v/>
      </c>
      <c r="E84" s="170" t="str">
        <f t="shared" si="12"/>
        <v/>
      </c>
      <c r="F84" s="818"/>
      <c r="G84" s="819"/>
      <c r="H84" s="167" t="str">
        <f t="shared" si="13"/>
        <v/>
      </c>
      <c r="I84" s="325" t="str">
        <f t="shared" si="43"/>
        <v/>
      </c>
      <c r="J84" s="800" t="str">
        <f>IFERROR(IF(F84="","",VLOOKUP(F84,'10. Condition and Temporal'!$B$6:$F$103,5,FALSE)), "Error ▲")</f>
        <v/>
      </c>
      <c r="K84" s="801"/>
      <c r="L84" s="287" t="str">
        <f t="shared" si="44"/>
        <v/>
      </c>
      <c r="M84" s="689" t="str">
        <f t="shared" si="45"/>
        <v/>
      </c>
      <c r="N84" s="690"/>
      <c r="O84" s="74"/>
      <c r="P84" s="12"/>
      <c r="R84" s="733"/>
      <c r="T84" s="181" t="str">
        <f t="shared" si="14"/>
        <v/>
      </c>
      <c r="U84" s="115" t="str">
        <f t="shared" si="46"/>
        <v/>
      </c>
      <c r="V84" s="94" t="str">
        <f t="shared" si="15"/>
        <v/>
      </c>
      <c r="W84" s="93" t="str">
        <f t="shared" si="15"/>
        <v/>
      </c>
      <c r="X84" s="94" t="str">
        <f t="shared" si="15"/>
        <v/>
      </c>
      <c r="Y84" s="376"/>
      <c r="Z84" s="347"/>
      <c r="AA84" s="515"/>
      <c r="AB84" s="93" t="str">
        <f t="shared" si="16"/>
        <v/>
      </c>
      <c r="AC84" s="116" t="str">
        <f t="shared" si="17"/>
        <v/>
      </c>
      <c r="AD84" s="181" t="str">
        <f t="shared" si="50"/>
        <v/>
      </c>
      <c r="AE84" s="181" t="str">
        <f t="shared" si="47"/>
        <v/>
      </c>
      <c r="AF84" s="519" t="str">
        <f t="shared" si="18"/>
        <v/>
      </c>
      <c r="AG84" s="115" t="str">
        <f>IF(D84="","",VLOOKUP(F84,'9. All Habitats + Multipliers'!$C$4:$K$102,5,FALSE))</f>
        <v/>
      </c>
      <c r="AH84" s="348" t="str">
        <f>IF(AG84="","",VLOOKUP(AG84,'11. Lists'!$B$47:$D$49,2,FALSE))</f>
        <v/>
      </c>
      <c r="AI84" s="93" t="str">
        <f t="shared" si="19"/>
        <v/>
      </c>
      <c r="AJ84" s="94" t="str">
        <f>IF(AI84="","",VLOOKUP(AI84,'11. Lists'!$F$47:$G$51,2,FALSE))</f>
        <v/>
      </c>
      <c r="AK84" s="376"/>
      <c r="AL84" s="347"/>
      <c r="AM84" s="515"/>
      <c r="AN84" s="93" t="str">
        <f t="shared" si="20"/>
        <v/>
      </c>
      <c r="AO84" s="95" t="str">
        <f>IF(AN84="","",VLOOKUP(AN84,'11. Lists'!$F$36:$H$38,2,FALSE))</f>
        <v/>
      </c>
      <c r="AP84" s="94" t="str">
        <f>IF(AN84="","",VLOOKUP(AN84,'11. Lists'!$F$36:$H$38,3,FALSE))</f>
        <v/>
      </c>
      <c r="AQ84" s="115" t="str">
        <f>IF(D84="","",IF(AX84="Distinctiveness","N/A",VLOOKUP(F84,'10. Condition and Temporal'!$B$6:$L$103,11,FALSE)))</f>
        <v/>
      </c>
      <c r="AR84" s="119" t="str">
        <f>IF(AQ84="","",IF(AQ84="N/A","1",VLOOKUP(AQ84,'11. Lists'!$I$47:$K$80,3,FALSE)))</f>
        <v/>
      </c>
      <c r="AS84" s="532" t="str">
        <f>IF(D84="","",IF(AX84="Condition","N/A",VLOOKUP(F84,'10. Condition and Temporal'!$B$6:$M$106,12,FALSE)))</f>
        <v/>
      </c>
      <c r="AT84" s="119" t="str">
        <f>IF(AS84="","",IF(AS84="N/A","1",VLOOKUP(AS84,'11. Lists'!$I$47:$K$80,3,FALSE)))</f>
        <v/>
      </c>
      <c r="AU84" s="115" t="str">
        <f>IF(D84="","",VLOOKUP(F84,'9. All Habitats + Multipliers'!$C$4:$K$102,8,FALSE))</f>
        <v/>
      </c>
      <c r="AV84" s="116" t="str">
        <f>IF(AU84="","",VLOOKUP(AU84,'11. Lists'!$J$35:$K$38,2,FALSE))</f>
        <v/>
      </c>
      <c r="AW84" s="181" t="str">
        <f>IF(D84="","",VLOOKUP(D84,'10. Condition and Temporal'!$B$6:$M$103,4,FALSE))</f>
        <v/>
      </c>
      <c r="AX84" s="181" t="str">
        <f t="shared" si="21"/>
        <v/>
      </c>
      <c r="AY84" s="471"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8" t="str">
        <f t="shared" si="49"/>
        <v/>
      </c>
      <c r="BW84" s="95" t="s">
        <v>182</v>
      </c>
      <c r="BX84" s="95">
        <f>BR66</f>
        <v>0</v>
      </c>
    </row>
    <row r="85" spans="1:76" s="25" customFormat="1" ht="15.6">
      <c r="A85" s="89"/>
      <c r="B85" s="268">
        <v>18</v>
      </c>
      <c r="C85" s="120" t="str">
        <f t="shared" si="11"/>
        <v/>
      </c>
      <c r="D85" s="212" t="str">
        <f t="shared" si="42"/>
        <v/>
      </c>
      <c r="E85" s="170" t="str">
        <f t="shared" si="12"/>
        <v/>
      </c>
      <c r="F85" s="818"/>
      <c r="G85" s="819"/>
      <c r="H85" s="167" t="str">
        <f t="shared" si="13"/>
        <v/>
      </c>
      <c r="I85" s="325" t="str">
        <f t="shared" si="43"/>
        <v/>
      </c>
      <c r="J85" s="800" t="str">
        <f>IFERROR(IF(F85="","",VLOOKUP(F85,'10. Condition and Temporal'!$B$6:$F$103,5,FALSE)), "Error ▲")</f>
        <v/>
      </c>
      <c r="K85" s="801"/>
      <c r="L85" s="287" t="str">
        <f t="shared" si="44"/>
        <v/>
      </c>
      <c r="M85" s="689" t="str">
        <f t="shared" si="45"/>
        <v/>
      </c>
      <c r="N85" s="690"/>
      <c r="O85" s="74"/>
      <c r="P85" s="12"/>
      <c r="R85" s="733"/>
      <c r="T85" s="181" t="str">
        <f t="shared" si="14"/>
        <v/>
      </c>
      <c r="U85" s="115" t="str">
        <f t="shared" si="46"/>
        <v/>
      </c>
      <c r="V85" s="94" t="str">
        <f t="shared" si="15"/>
        <v/>
      </c>
      <c r="W85" s="93" t="str">
        <f t="shared" si="15"/>
        <v/>
      </c>
      <c r="X85" s="94" t="str">
        <f t="shared" si="15"/>
        <v/>
      </c>
      <c r="Y85" s="376"/>
      <c r="Z85" s="347"/>
      <c r="AA85" s="515"/>
      <c r="AB85" s="93" t="str">
        <f t="shared" si="16"/>
        <v/>
      </c>
      <c r="AC85" s="116" t="str">
        <f t="shared" si="17"/>
        <v/>
      </c>
      <c r="AD85" s="181" t="str">
        <f t="shared" si="50"/>
        <v/>
      </c>
      <c r="AE85" s="181" t="str">
        <f t="shared" si="47"/>
        <v/>
      </c>
      <c r="AF85" s="519" t="str">
        <f t="shared" si="18"/>
        <v/>
      </c>
      <c r="AG85" s="115" t="str">
        <f>IF(D85="","",VLOOKUP(F85,'9. All Habitats + Multipliers'!$C$4:$K$102,5,FALSE))</f>
        <v/>
      </c>
      <c r="AH85" s="348" t="str">
        <f>IF(AG85="","",VLOOKUP(AG85,'11. Lists'!$B$47:$D$49,2,FALSE))</f>
        <v/>
      </c>
      <c r="AI85" s="93" t="str">
        <f t="shared" si="19"/>
        <v/>
      </c>
      <c r="AJ85" s="94" t="str">
        <f>IF(AI85="","",VLOOKUP(AI85,'11. Lists'!$F$47:$G$51,2,FALSE))</f>
        <v/>
      </c>
      <c r="AK85" s="376"/>
      <c r="AL85" s="347"/>
      <c r="AM85" s="515"/>
      <c r="AN85" s="93" t="str">
        <f t="shared" si="20"/>
        <v/>
      </c>
      <c r="AO85" s="95" t="str">
        <f>IF(AN85="","",VLOOKUP(AN85,'11. Lists'!$F$36:$H$38,2,FALSE))</f>
        <v/>
      </c>
      <c r="AP85" s="94" t="str">
        <f>IF(AN85="","",VLOOKUP(AN85,'11. Lists'!$F$36:$H$38,3,FALSE))</f>
        <v/>
      </c>
      <c r="AQ85" s="115" t="str">
        <f>IF(D85="","",IF(AX85="Distinctiveness","N/A",VLOOKUP(F85,'10. Condition and Temporal'!$B$6:$L$103,11,FALSE)))</f>
        <v/>
      </c>
      <c r="AR85" s="119" t="str">
        <f>IF(AQ85="","",IF(AQ85="N/A","1",VLOOKUP(AQ85,'11. Lists'!$I$47:$K$80,3,FALSE)))</f>
        <v/>
      </c>
      <c r="AS85" s="532" t="str">
        <f>IF(D85="","",IF(AX85="Condition","N/A",VLOOKUP(F85,'10. Condition and Temporal'!$B$6:$M$106,12,FALSE)))</f>
        <v/>
      </c>
      <c r="AT85" s="119" t="str">
        <f>IF(AS85="","",IF(AS85="N/A","1",VLOOKUP(AS85,'11. Lists'!$I$47:$K$80,3,FALSE)))</f>
        <v/>
      </c>
      <c r="AU85" s="115" t="str">
        <f>IF(D85="","",VLOOKUP(F85,'9. All Habitats + Multipliers'!$C$4:$K$102,8,FALSE))</f>
        <v/>
      </c>
      <c r="AV85" s="116" t="str">
        <f>IF(AU85="","",VLOOKUP(AU85,'11. Lists'!$J$35:$K$38,2,FALSE))</f>
        <v/>
      </c>
      <c r="AW85" s="181" t="str">
        <f>IF(D85="","",VLOOKUP(D85,'10. Condition and Temporal'!$B$6:$M$103,4,FALSE))</f>
        <v/>
      </c>
      <c r="AX85" s="181" t="str">
        <f t="shared" si="21"/>
        <v/>
      </c>
      <c r="AY85" s="471"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8" t="str">
        <f t="shared" si="49"/>
        <v/>
      </c>
      <c r="BW85" s="95" t="s">
        <v>183</v>
      </c>
      <c r="BX85" s="95">
        <f>BS66</f>
        <v>0</v>
      </c>
    </row>
    <row r="86" spans="1:76" s="25" customFormat="1" ht="15.6">
      <c r="A86" s="89"/>
      <c r="B86" s="268">
        <v>19</v>
      </c>
      <c r="C86" s="120" t="str">
        <f t="shared" si="11"/>
        <v/>
      </c>
      <c r="D86" s="212" t="str">
        <f t="shared" si="42"/>
        <v/>
      </c>
      <c r="E86" s="170" t="str">
        <f t="shared" si="12"/>
        <v/>
      </c>
      <c r="F86" s="818"/>
      <c r="G86" s="819"/>
      <c r="H86" s="167" t="str">
        <f t="shared" si="13"/>
        <v/>
      </c>
      <c r="I86" s="325" t="str">
        <f t="shared" si="43"/>
        <v/>
      </c>
      <c r="J86" s="800" t="str">
        <f>IFERROR(IF(F86="","",VLOOKUP(F86,'10. Condition and Temporal'!$B$6:$F$103,5,FALSE)), "Error ▲")</f>
        <v/>
      </c>
      <c r="K86" s="801"/>
      <c r="L86" s="287" t="str">
        <f t="shared" si="44"/>
        <v/>
      </c>
      <c r="M86" s="689" t="str">
        <f t="shared" si="45"/>
        <v/>
      </c>
      <c r="N86" s="690"/>
      <c r="O86" s="74"/>
      <c r="P86" s="12"/>
      <c r="R86" s="733"/>
      <c r="T86" s="181" t="str">
        <f t="shared" si="14"/>
        <v/>
      </c>
      <c r="U86" s="115" t="str">
        <f t="shared" si="46"/>
        <v/>
      </c>
      <c r="V86" s="94" t="str">
        <f t="shared" si="15"/>
        <v/>
      </c>
      <c r="W86" s="93" t="str">
        <f t="shared" si="15"/>
        <v/>
      </c>
      <c r="X86" s="94" t="str">
        <f t="shared" si="15"/>
        <v/>
      </c>
      <c r="Y86" s="376"/>
      <c r="Z86" s="347"/>
      <c r="AA86" s="515"/>
      <c r="AB86" s="93" t="str">
        <f t="shared" si="16"/>
        <v/>
      </c>
      <c r="AC86" s="116" t="str">
        <f t="shared" si="17"/>
        <v/>
      </c>
      <c r="AD86" s="181" t="str">
        <f t="shared" si="50"/>
        <v/>
      </c>
      <c r="AE86" s="181" t="str">
        <f t="shared" si="47"/>
        <v/>
      </c>
      <c r="AF86" s="519" t="str">
        <f t="shared" si="18"/>
        <v/>
      </c>
      <c r="AG86" s="115" t="str">
        <f>IF(D86="","",VLOOKUP(F86,'9. All Habitats + Multipliers'!$C$4:$K$102,5,FALSE))</f>
        <v/>
      </c>
      <c r="AH86" s="348" t="str">
        <f>IF(AG86="","",VLOOKUP(AG86,'11. Lists'!$B$47:$D$49,2,FALSE))</f>
        <v/>
      </c>
      <c r="AI86" s="93" t="str">
        <f t="shared" si="19"/>
        <v/>
      </c>
      <c r="AJ86" s="94" t="str">
        <f>IF(AI86="","",VLOOKUP(AI86,'11. Lists'!$F$47:$G$51,2,FALSE))</f>
        <v/>
      </c>
      <c r="AK86" s="376"/>
      <c r="AL86" s="347"/>
      <c r="AM86" s="515"/>
      <c r="AN86" s="93" t="str">
        <f t="shared" si="20"/>
        <v/>
      </c>
      <c r="AO86" s="95" t="str">
        <f>IF(AN86="","",VLOOKUP(AN86,'11. Lists'!$F$36:$H$38,2,FALSE))</f>
        <v/>
      </c>
      <c r="AP86" s="94" t="str">
        <f>IF(AN86="","",VLOOKUP(AN86,'11. Lists'!$F$36:$H$38,3,FALSE))</f>
        <v/>
      </c>
      <c r="AQ86" s="115" t="str">
        <f>IF(D86="","",IF(AX86="Distinctiveness","N/A",VLOOKUP(F86,'10. Condition and Temporal'!$B$6:$L$103,11,FALSE)))</f>
        <v/>
      </c>
      <c r="AR86" s="119" t="str">
        <f>IF(AQ86="","",IF(AQ86="N/A","1",VLOOKUP(AQ86,'11. Lists'!$I$47:$K$80,3,FALSE)))</f>
        <v/>
      </c>
      <c r="AS86" s="532" t="str">
        <f>IF(D86="","",IF(AX86="Condition","N/A",VLOOKUP(F86,'10. Condition and Temporal'!$B$6:$M$106,12,FALSE)))</f>
        <v/>
      </c>
      <c r="AT86" s="119" t="str">
        <f>IF(AS86="","",IF(AS86="N/A","1",VLOOKUP(AS86,'11. Lists'!$I$47:$K$80,3,FALSE)))</f>
        <v/>
      </c>
      <c r="AU86" s="115" t="str">
        <f>IF(D86="","",VLOOKUP(F86,'9. All Habitats + Multipliers'!$C$4:$K$102,8,FALSE))</f>
        <v/>
      </c>
      <c r="AV86" s="116" t="str">
        <f>IF(AU86="","",VLOOKUP(AU86,'11. Lists'!$J$35:$K$38,2,FALSE))</f>
        <v/>
      </c>
      <c r="AW86" s="181" t="str">
        <f>IF(D86="","",VLOOKUP(D86,'10. Condition and Temporal'!$B$6:$M$103,4,FALSE))</f>
        <v/>
      </c>
      <c r="AX86" s="181" t="str">
        <f t="shared" si="21"/>
        <v/>
      </c>
      <c r="AY86" s="471"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8" t="str">
        <f t="shared" si="49"/>
        <v/>
      </c>
      <c r="BW86" s="95" t="s">
        <v>184</v>
      </c>
      <c r="BX86" s="95">
        <f>BT66</f>
        <v>0</v>
      </c>
    </row>
    <row r="87" spans="1:76" s="25" customFormat="1" ht="16.2" thickBot="1">
      <c r="A87" s="89"/>
      <c r="B87" s="269">
        <v>20</v>
      </c>
      <c r="C87" s="139" t="str">
        <f t="shared" si="11"/>
        <v/>
      </c>
      <c r="D87" s="428" t="str">
        <f t="shared" si="42"/>
        <v/>
      </c>
      <c r="E87" s="171" t="str">
        <f t="shared" si="12"/>
        <v/>
      </c>
      <c r="F87" s="846"/>
      <c r="G87" s="847"/>
      <c r="H87" s="168" t="str">
        <f t="shared" si="13"/>
        <v/>
      </c>
      <c r="I87" s="435" t="str">
        <f t="shared" si="43"/>
        <v/>
      </c>
      <c r="J87" s="832" t="str">
        <f>IFERROR(IF(F87="","",VLOOKUP(F87,'10. Condition and Temporal'!$B$6:$F$103,5,FALSE)), "Error ▲")</f>
        <v/>
      </c>
      <c r="K87" s="833"/>
      <c r="L87" s="430" t="str">
        <f t="shared" si="44"/>
        <v/>
      </c>
      <c r="M87" s="828" t="str">
        <f t="shared" si="45"/>
        <v/>
      </c>
      <c r="N87" s="829"/>
      <c r="O87" s="75"/>
      <c r="P87" s="14"/>
      <c r="R87" s="733"/>
      <c r="T87" s="182" t="str">
        <f t="shared" si="14"/>
        <v/>
      </c>
      <c r="U87" s="511" t="str">
        <f t="shared" si="46"/>
        <v/>
      </c>
      <c r="V87" s="99" t="str">
        <f t="shared" si="15"/>
        <v/>
      </c>
      <c r="W87" s="98" t="str">
        <f t="shared" si="15"/>
        <v/>
      </c>
      <c r="X87" s="99" t="str">
        <f t="shared" si="15"/>
        <v/>
      </c>
      <c r="Y87" s="512"/>
      <c r="Z87" s="351"/>
      <c r="AA87" s="516"/>
      <c r="AB87" s="98" t="str">
        <f t="shared" si="16"/>
        <v/>
      </c>
      <c r="AC87" s="517" t="str">
        <f t="shared" si="17"/>
        <v/>
      </c>
      <c r="AD87" s="182" t="str">
        <f t="shared" si="50"/>
        <v/>
      </c>
      <c r="AE87" s="182" t="str">
        <f t="shared" si="47"/>
        <v/>
      </c>
      <c r="AF87" s="520" t="str">
        <f t="shared" si="18"/>
        <v/>
      </c>
      <c r="AG87" s="511" t="str">
        <f>IF(D87="","",VLOOKUP(F87,'9. All Habitats + Multipliers'!$C$4:$K$102,5,FALSE))</f>
        <v/>
      </c>
      <c r="AH87" s="484" t="str">
        <f>IF(AG87="","",VLOOKUP(AG87,'11. Lists'!$B$47:$D$49,2,FALSE))</f>
        <v/>
      </c>
      <c r="AI87" s="98" t="str">
        <f t="shared" si="19"/>
        <v/>
      </c>
      <c r="AJ87" s="99" t="str">
        <f>IF(AI87="","",VLOOKUP(AI87,'11. Lists'!$F$47:$G$51,2,FALSE))</f>
        <v/>
      </c>
      <c r="AK87" s="376"/>
      <c r="AL87" s="347"/>
      <c r="AM87" s="515"/>
      <c r="AN87" s="98" t="str">
        <f t="shared" si="20"/>
        <v/>
      </c>
      <c r="AO87" s="100" t="str">
        <f>IF(AN87="","",VLOOKUP(AN87,'11. Lists'!$F$36:$H$38,2,FALSE))</f>
        <v/>
      </c>
      <c r="AP87" s="99" t="str">
        <f>IF(AN87="","",VLOOKUP(AN87,'11. Lists'!$F$36:$H$38,3,FALSE))</f>
        <v/>
      </c>
      <c r="AQ87" s="511" t="str">
        <f>IF(D87="","",IF(AX87="Distinctiveness","N/A",VLOOKUP(F87,'10. Condition and Temporal'!$B$6:$L$103,11,FALSE)))</f>
        <v/>
      </c>
      <c r="AR87" s="529" t="str">
        <f>IF(AQ87="","",IF(AQ87="N/A","1",VLOOKUP(AQ87,'11. Lists'!$I$47:$K$80,3,FALSE)))</f>
        <v/>
      </c>
      <c r="AS87" s="533" t="str">
        <f>IF(D87="","",IF(AX87="Condition","N/A",VLOOKUP(F87,'10. Condition and Temporal'!$B$6:$M$106,12,FALSE)))</f>
        <v/>
      </c>
      <c r="AT87" s="529" t="str">
        <f>IF(AS87="","",IF(AS87="N/A","1",VLOOKUP(AS87,'11. Lists'!$I$47:$K$80,3,FALSE)))</f>
        <v/>
      </c>
      <c r="AU87" s="511" t="str">
        <f>IF(D87="","",VLOOKUP(F87,'9. All Habitats + Multipliers'!$C$4:$K$102,8,FALSE))</f>
        <v/>
      </c>
      <c r="AV87" s="517" t="str">
        <f>IF(AU87="","",VLOOKUP(AU87,'11. Lists'!$J$35:$K$38,2,FALSE))</f>
        <v/>
      </c>
      <c r="AW87" s="182" t="str">
        <f>IF(D87="","",VLOOKUP(D87,'10. Condition and Temporal'!$B$6:$M$103,4,FALSE))</f>
        <v/>
      </c>
      <c r="AX87" s="182" t="str">
        <f t="shared" si="21"/>
        <v/>
      </c>
      <c r="AY87" s="472"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8" t="str">
        <f t="shared" si="49"/>
        <v/>
      </c>
      <c r="BW87" s="95" t="s">
        <v>185</v>
      </c>
      <c r="BX87" s="95">
        <f>BU66</f>
        <v>0</v>
      </c>
    </row>
    <row r="88" spans="1:76" s="25" customFormat="1" ht="32.549999999999997" hidden="1" customHeight="1" thickBot="1">
      <c r="A88" s="89"/>
      <c r="B88" s="271" t="s">
        <v>101</v>
      </c>
      <c r="C88" s="97" t="s">
        <v>102</v>
      </c>
      <c r="D88" s="410" t="s">
        <v>103</v>
      </c>
      <c r="E88" s="97" t="str">
        <f t="shared" si="12"/>
        <v>Condition</v>
      </c>
      <c r="F88" s="844" t="s">
        <v>103</v>
      </c>
      <c r="G88" s="845"/>
      <c r="H88" s="411" t="s">
        <v>124</v>
      </c>
      <c r="I88" s="412">
        <v>0</v>
      </c>
      <c r="J88" s="687" t="str">
        <f>IF(F88="","",VLOOKUP(F88,'10. Condition and Temporal'!$B$6:$F$103,5,FALSE))</f>
        <v>Good</v>
      </c>
      <c r="K88" s="688"/>
      <c r="L88" s="413">
        <f t="shared" ref="L88" si="51">IFERROR(IF(D88="","",IF(AX88="Distinctiveness",(((((I88*AH88*AJ88)-(I88*V88*X88))*(AV88*AT88))+(I88*V88*X88))*(AP88))/10000,((((I88*AJ88*AH88)-(I88*V88*X88))*(AV88*AR88))+(I88*V88*X88))*AP88/10000)),"This intervention is not permitted within the SSM ▲")</f>
        <v>0</v>
      </c>
      <c r="M88" s="814">
        <f>L88-AD88</f>
        <v>0</v>
      </c>
      <c r="N88" s="732"/>
      <c r="O88" s="414"/>
      <c r="P88" s="39"/>
      <c r="R88" s="733"/>
      <c r="T88" s="174">
        <f t="shared" si="14"/>
        <v>0</v>
      </c>
      <c r="U88" s="175" t="str">
        <f>IF($D88="","",T31)</f>
        <v>Medium</v>
      </c>
      <c r="V88" s="353">
        <f t="shared" si="15"/>
        <v>4</v>
      </c>
      <c r="W88" s="175" t="str">
        <f t="shared" si="15"/>
        <v>Moderate</v>
      </c>
      <c r="X88" s="177">
        <f t="shared" si="15"/>
        <v>2</v>
      </c>
      <c r="Y88" s="352"/>
      <c r="Z88" s="352"/>
      <c r="AA88" s="352"/>
      <c r="AB88" s="177" t="str">
        <f t="shared" si="16"/>
        <v>Formally identified in local strategy</v>
      </c>
      <c r="AC88" s="177">
        <f t="shared" si="17"/>
        <v>1.1499999999999999</v>
      </c>
      <c r="AD88" s="176">
        <f t="shared" ref="AD88" si="52">IF(AC88="","",(T88*V88*X88)*(AA88*AC88)/10000)</f>
        <v>0</v>
      </c>
      <c r="AE88" s="184" t="str">
        <f>IF(AD88="","",IF(AH88&lt;V88,"Not Acceptable","Acceptable"))</f>
        <v>Acceptable</v>
      </c>
      <c r="AF88" s="174">
        <f t="shared" si="18"/>
        <v>0</v>
      </c>
      <c r="AG88" s="175" t="str">
        <f>IF(D88="","",VLOOKUP(F88,'9. All Habitats + Multipliers'!$C$4:$K$102,5,FALSE))</f>
        <v>Medium</v>
      </c>
      <c r="AH88" s="176">
        <f>IF(AG88="","",VLOOKUP(AG88,'11. Lists'!$B$47:$D$49,2,FALSE))</f>
        <v>4</v>
      </c>
      <c r="AI88" s="522" t="str">
        <f t="shared" si="19"/>
        <v>Good</v>
      </c>
      <c r="AJ88" s="511">
        <f>IF(AI88="","",VLOOKUP(AI88,'11. Lists'!$F$47:$G$51,2,FALSE))</f>
        <v>3</v>
      </c>
      <c r="AK88" s="368"/>
      <c r="AL88" s="368"/>
      <c r="AM88" s="368"/>
      <c r="AN88" s="517" t="str">
        <f t="shared" si="20"/>
        <v>Area/compensation not in local strategy/ no local strategy</v>
      </c>
      <c r="AO88" s="525" t="str">
        <f>IF(AN88="","",VLOOKUP(AN88,'11. Lists'!$F$36:$H$38,2,FALSE))</f>
        <v>Low Strategic Significance</v>
      </c>
      <c r="AP88" s="517">
        <f>IF(AN88="","",VLOOKUP(AN88,'11. Lists'!$F$36:$H$38,3,FALSE))</f>
        <v>1</v>
      </c>
      <c r="AQ88" s="175">
        <f>IF(D88="","",VLOOKUP(F88,'10. Condition and Temporal'!$B$6:$L$103,11,FALSE))</f>
        <v>16</v>
      </c>
      <c r="AR88" s="179">
        <f>IF(AQ88="","",VLOOKUP(AQ88,'11. Lists'!$I$47:$K$80,3,FALSE))</f>
        <v>0.56550573479999999</v>
      </c>
      <c r="AS88" s="530" t="str">
        <f>IF(D88="","",VLOOKUP(F88,'10. Condition and Temporal'!$B$6:$M$106,12,FALSE))</f>
        <v>Not Possible</v>
      </c>
      <c r="AT88" s="119" t="str">
        <f>IF(AS88="","",IF(AS88="N/A","1",VLOOKUP(AS88,'11. Lists'!$I$47:$K$80,3,FALSE)))</f>
        <v>N/A</v>
      </c>
      <c r="AU88" s="178" t="str">
        <f>IF(D88="","",VLOOKUP(F88,'9. All Habitats + Multipliers'!$C$4:$K$102,8,FALSE))</f>
        <v>Low</v>
      </c>
      <c r="AV88" s="176">
        <f>IF(AU88="","",VLOOKUP(AU88,'11. Lists'!$J$35:$K$38,2,FALSE))</f>
        <v>1</v>
      </c>
      <c r="AW88" s="175" t="str">
        <f>IF(D88="","",VLOOKUP(D88,'10. Condition and Temporal'!$B$6:$M$103,4,FALSE))</f>
        <v>Urban/rural tree</v>
      </c>
      <c r="AX88" s="176" t="str">
        <f>IF(F88="","",IF(D88=F88,"Condition","Distinctivness"))</f>
        <v>Condition</v>
      </c>
      <c r="AY88" s="25" t="str">
        <f t="shared" ref="AY88" si="53">C88</f>
        <v>Individual trees</v>
      </c>
    </row>
    <row r="89" spans="1:76" s="25" customFormat="1" ht="15" thickBot="1">
      <c r="H89" s="180" t="s">
        <v>105</v>
      </c>
      <c r="I89" s="322">
        <f>SUMIFS(I68:I87,F68:F87,"&lt;&gt;"&amp;'11. Lists'!Q10,F68:F87,"&lt;&gt;"&amp;'11. Lists'!Q11,F68:F87,"&lt;&gt;"&amp;'11. Lists'!I4,F68:F87,"&lt;&gt;"&amp;'11. Lists'!I2,F68:F87,"&lt;&gt;"&amp;'11. Lists'!I3)</f>
        <v>0</v>
      </c>
      <c r="J89" s="222"/>
      <c r="K89" s="220"/>
      <c r="L89" s="288">
        <f>SUM(L68:L88)</f>
        <v>0</v>
      </c>
      <c r="M89" s="730">
        <f>SUM(M68:N88)</f>
        <v>0</v>
      </c>
      <c r="N89" s="732"/>
      <c r="R89" s="733"/>
    </row>
    <row r="90" spans="1:76" s="25" customFormat="1">
      <c r="C90" s="26"/>
      <c r="R90" s="733"/>
    </row>
    <row r="91" spans="1:76" s="25" customFormat="1" ht="21">
      <c r="B91" s="57" t="s">
        <v>186</v>
      </c>
      <c r="R91" s="733"/>
    </row>
    <row r="92" spans="1:76" s="25" customFormat="1" ht="15" thickBot="1">
      <c r="D92" s="88"/>
      <c r="R92" s="733"/>
    </row>
    <row r="93" spans="1:76" s="25" customFormat="1" ht="48" customHeight="1">
      <c r="B93" s="646" t="s">
        <v>187</v>
      </c>
      <c r="C93" s="647"/>
      <c r="D93" s="650" t="s">
        <v>188</v>
      </c>
      <c r="E93" s="652" t="s">
        <v>189</v>
      </c>
      <c r="F93" s="653"/>
      <c r="G93" s="652" t="s">
        <v>190</v>
      </c>
      <c r="H93" s="647"/>
      <c r="I93" s="656" t="s">
        <v>191</v>
      </c>
      <c r="J93" s="657"/>
      <c r="K93" s="657"/>
      <c r="L93" s="657"/>
      <c r="M93" s="657"/>
      <c r="N93" s="657"/>
      <c r="O93" s="657"/>
      <c r="P93" s="658"/>
      <c r="R93" s="733"/>
    </row>
    <row r="94" spans="1:76" s="25" customFormat="1" ht="15.6" customHeight="1" thickBot="1">
      <c r="B94" s="648"/>
      <c r="C94" s="649"/>
      <c r="D94" s="651"/>
      <c r="E94" s="654"/>
      <c r="F94" s="655"/>
      <c r="G94" s="654"/>
      <c r="H94" s="649"/>
      <c r="I94" s="659" t="s">
        <v>192</v>
      </c>
      <c r="J94" s="660"/>
      <c r="K94" s="661"/>
      <c r="L94" s="662" t="s">
        <v>193</v>
      </c>
      <c r="M94" s="660"/>
      <c r="N94" s="661"/>
      <c r="O94" s="662" t="s">
        <v>194</v>
      </c>
      <c r="P94" s="671"/>
      <c r="R94" s="733"/>
    </row>
    <row r="95" spans="1:76" s="25" customFormat="1" ht="23.1" customHeight="1">
      <c r="B95" s="806" t="s">
        <v>195</v>
      </c>
      <c r="C95" s="807"/>
      <c r="D95" s="159"/>
      <c r="E95" s="830"/>
      <c r="F95" s="831"/>
      <c r="G95" s="672"/>
      <c r="H95" s="673"/>
      <c r="I95" s="827">
        <f>D95*'11. Lists'!P47</f>
        <v>0</v>
      </c>
      <c r="J95" s="822"/>
      <c r="K95" s="823"/>
      <c r="L95" s="821">
        <f>IF(E95&gt;D95, "Error ▲", E95*'11. Lists'!P47)</f>
        <v>0</v>
      </c>
      <c r="M95" s="822"/>
      <c r="N95" s="823"/>
      <c r="O95" s="821">
        <f>G95*'11. Lists'!P47</f>
        <v>0</v>
      </c>
      <c r="P95" s="837"/>
      <c r="R95" s="733"/>
    </row>
    <row r="96" spans="1:76" s="25" customFormat="1" ht="24.6" customHeight="1">
      <c r="B96" s="663" t="s">
        <v>196</v>
      </c>
      <c r="C96" s="664"/>
      <c r="D96" s="217"/>
      <c r="E96" s="665"/>
      <c r="F96" s="666"/>
      <c r="G96" s="674"/>
      <c r="H96" s="675"/>
      <c r="I96" s="667">
        <f>D96*'11. Lists'!P48</f>
        <v>0</v>
      </c>
      <c r="J96" s="668"/>
      <c r="K96" s="669"/>
      <c r="L96" s="670">
        <f>IF(E96&gt;D96,"Error ▲",(E96*'11. Lists'!P48))</f>
        <v>0</v>
      </c>
      <c r="M96" s="668"/>
      <c r="N96" s="669"/>
      <c r="O96" s="670">
        <f>G96*'11. Lists'!P48</f>
        <v>0</v>
      </c>
      <c r="P96" s="838"/>
      <c r="R96" s="733"/>
    </row>
    <row r="97" spans="1:18" s="25" customFormat="1" ht="24.6" customHeight="1">
      <c r="B97" s="663" t="s">
        <v>197</v>
      </c>
      <c r="C97" s="664"/>
      <c r="D97" s="217"/>
      <c r="E97" s="665"/>
      <c r="F97" s="666"/>
      <c r="G97" s="674"/>
      <c r="H97" s="675"/>
      <c r="I97" s="667">
        <f>D97*'11. Lists'!P49</f>
        <v>0</v>
      </c>
      <c r="J97" s="668"/>
      <c r="K97" s="669"/>
      <c r="L97" s="670">
        <f>IF(E97&gt;D97,"Error ▲",(E97*'11. Lists'!P49))</f>
        <v>0</v>
      </c>
      <c r="M97" s="668"/>
      <c r="N97" s="669"/>
      <c r="O97" s="670">
        <f>G97*'11. Lists'!P49</f>
        <v>0</v>
      </c>
      <c r="P97" s="838"/>
      <c r="R97" s="733"/>
    </row>
    <row r="98" spans="1:18" s="25" customFormat="1" ht="24.6" customHeight="1">
      <c r="B98" s="663" t="s">
        <v>198</v>
      </c>
      <c r="C98" s="664"/>
      <c r="D98" s="217"/>
      <c r="E98" s="665"/>
      <c r="F98" s="666"/>
      <c r="G98" s="674"/>
      <c r="H98" s="675"/>
      <c r="I98" s="667">
        <f>D98*'11. Lists'!P50</f>
        <v>0</v>
      </c>
      <c r="J98" s="668"/>
      <c r="K98" s="669"/>
      <c r="L98" s="670">
        <f>IF(E98&gt;D98,"Error ▲",(E98*'11. Lists'!P50))</f>
        <v>0</v>
      </c>
      <c r="M98" s="668"/>
      <c r="N98" s="669"/>
      <c r="O98" s="670">
        <f>G98*'11. Lists'!P50</f>
        <v>0</v>
      </c>
      <c r="P98" s="838"/>
      <c r="R98" s="733"/>
    </row>
    <row r="99" spans="1:18" s="25" customFormat="1" ht="24.6" customHeight="1" thickBot="1">
      <c r="B99" s="639" t="s">
        <v>199</v>
      </c>
      <c r="C99" s="805"/>
      <c r="D99" s="289">
        <f>SUM(D95:D98)</f>
        <v>0</v>
      </c>
      <c r="E99" s="808">
        <f>SUM(E95:F98)</f>
        <v>0</v>
      </c>
      <c r="F99" s="809"/>
      <c r="G99" s="808">
        <f>SUM(G95:H98)</f>
        <v>0</v>
      </c>
      <c r="H99" s="836"/>
      <c r="I99" s="809">
        <f>SUM(I95:K98)</f>
        <v>0</v>
      </c>
      <c r="J99" s="820"/>
      <c r="K99" s="820"/>
      <c r="L99" s="820">
        <f>SUM(L95:N98)</f>
        <v>0</v>
      </c>
      <c r="M99" s="820"/>
      <c r="N99" s="820"/>
      <c r="O99" s="808">
        <f>SUM(O95:P98)</f>
        <v>0</v>
      </c>
      <c r="P99" s="836"/>
      <c r="R99" s="733"/>
    </row>
    <row r="100" spans="1:18" s="25" customFormat="1" ht="19.2" customHeight="1">
      <c r="E100" s="824" t="str">
        <f>IFERROR(IF(OR(E95&gt;D95, E96&gt;D96, E97&gt;D97, E98&gt;D98), "Error - trees retained and lost is greater than number of pre-development trees ▲", ""), "Error  ▲")</f>
        <v/>
      </c>
      <c r="F100" s="824"/>
      <c r="G100" s="824"/>
      <c r="R100" s="733"/>
    </row>
    <row r="101" spans="1:18" s="25" customFormat="1">
      <c r="R101" s="733"/>
    </row>
    <row r="102" spans="1:18" s="25" customFormat="1">
      <c r="A102" s="799" t="s">
        <v>200</v>
      </c>
      <c r="B102" s="799"/>
      <c r="C102" s="799"/>
      <c r="D102" s="799"/>
      <c r="E102" s="799"/>
      <c r="F102" s="799"/>
      <c r="G102" s="799"/>
      <c r="H102" s="799"/>
      <c r="I102" s="799"/>
      <c r="J102" s="799"/>
      <c r="K102" s="799"/>
      <c r="L102" s="799"/>
      <c r="M102" s="799"/>
      <c r="N102" s="799"/>
      <c r="O102" s="799"/>
      <c r="P102" s="799"/>
      <c r="Q102" s="799"/>
      <c r="R102" s="733"/>
    </row>
    <row r="103" spans="1:18" s="25" customFormat="1">
      <c r="A103" s="799"/>
      <c r="B103" s="799"/>
      <c r="C103" s="799"/>
      <c r="D103" s="799"/>
      <c r="E103" s="799"/>
      <c r="F103" s="799"/>
      <c r="G103" s="799"/>
      <c r="H103" s="799"/>
      <c r="I103" s="799"/>
      <c r="J103" s="799"/>
      <c r="K103" s="799"/>
      <c r="L103" s="799"/>
      <c r="M103" s="799"/>
      <c r="N103" s="799"/>
      <c r="O103" s="799"/>
      <c r="P103" s="799"/>
      <c r="Q103" s="799"/>
      <c r="R103" s="733"/>
    </row>
    <row r="104" spans="1:18" s="25" customFormat="1">
      <c r="A104" s="799"/>
      <c r="B104" s="799"/>
      <c r="C104" s="799"/>
      <c r="D104" s="799"/>
      <c r="E104" s="799"/>
      <c r="F104" s="799"/>
      <c r="G104" s="799"/>
      <c r="H104" s="799"/>
      <c r="I104" s="799"/>
      <c r="J104" s="799"/>
      <c r="K104" s="799"/>
      <c r="L104" s="799"/>
      <c r="M104" s="799"/>
      <c r="N104" s="799"/>
      <c r="O104" s="799"/>
      <c r="P104" s="799"/>
      <c r="Q104" s="799"/>
      <c r="R104" s="733"/>
    </row>
    <row r="105" spans="1:18" s="25" customFormat="1">
      <c r="R105" s="733"/>
    </row>
    <row r="106" spans="1:18" s="25" customFormat="1" ht="21">
      <c r="B106" s="57" t="s">
        <v>201</v>
      </c>
      <c r="D106" s="26"/>
      <c r="E106" s="26"/>
      <c r="F106" s="26"/>
      <c r="G106" s="26"/>
      <c r="R106" s="733"/>
    </row>
    <row r="107" spans="1:18" s="25" customFormat="1" ht="15" thickBot="1">
      <c r="R107" s="733"/>
    </row>
    <row r="108" spans="1:18" s="25" customFormat="1" ht="36.6" customHeight="1">
      <c r="B108" s="753" t="s">
        <v>202</v>
      </c>
      <c r="C108" s="754"/>
      <c r="D108" s="755"/>
      <c r="E108" s="797" t="str">
        <f>IF(SUM(J114:J135)&gt;0,"Error - Trading Rules Not Satisfied - Insufficient Units Created Within Habitat Groups ▲", "Trading Rules Satisfied ✓")</f>
        <v>Trading Rules Satisfied ✓</v>
      </c>
      <c r="F108" s="797"/>
      <c r="G108" s="797"/>
      <c r="H108" s="797"/>
      <c r="I108" s="798"/>
      <c r="J108" s="161">
        <f>IFERROR(FIND("Error",E108),0)</f>
        <v>0</v>
      </c>
      <c r="R108" s="733"/>
    </row>
    <row r="109" spans="1:18" s="25" customFormat="1" ht="36" customHeight="1" thickBot="1">
      <c r="B109" s="802" t="s">
        <v>203</v>
      </c>
      <c r="C109" s="803"/>
      <c r="D109" s="804"/>
      <c r="E109" s="795" t="str">
        <f>IF(SUM(J138:J140)&gt;0,"Error - Trading Rules Not Satisfied - Insufficient Biodiversity Units Created ▲","Trading Rules Satisfied ✓")</f>
        <v>Trading Rules Satisfied ✓</v>
      </c>
      <c r="F109" s="795"/>
      <c r="G109" s="795"/>
      <c r="H109" s="795"/>
      <c r="I109" s="796"/>
      <c r="J109" s="161">
        <f>IFERROR(FIND("Error",E109),0)</f>
        <v>0</v>
      </c>
      <c r="R109" s="733"/>
    </row>
    <row r="110" spans="1:18" s="25" customFormat="1">
      <c r="R110" s="733"/>
    </row>
    <row r="111" spans="1:18" s="25" customFormat="1" ht="21">
      <c r="B111" s="57" t="s">
        <v>204</v>
      </c>
      <c r="R111" s="733"/>
    </row>
    <row r="112" spans="1:18" s="25" customFormat="1" ht="15" thickBot="1">
      <c r="R112" s="733"/>
    </row>
    <row r="113" spans="2:18" s="25" customFormat="1" ht="36.6" customHeight="1">
      <c r="B113" s="734" t="s">
        <v>205</v>
      </c>
      <c r="C113" s="735"/>
      <c r="D113" s="735"/>
      <c r="E113" s="216" t="s">
        <v>206</v>
      </c>
      <c r="F113" s="216" t="s">
        <v>207</v>
      </c>
      <c r="G113" s="216" t="s">
        <v>208</v>
      </c>
      <c r="H113" s="216" t="s">
        <v>209</v>
      </c>
      <c r="I113" s="121" t="s">
        <v>210</v>
      </c>
      <c r="J113" s="438"/>
      <c r="R113" s="733"/>
    </row>
    <row r="114" spans="2:18" s="25" customFormat="1" ht="15.6" customHeight="1">
      <c r="B114" s="736" t="s">
        <v>211</v>
      </c>
      <c r="C114" s="737"/>
      <c r="D114" s="738"/>
      <c r="E114" s="122" t="s">
        <v>212</v>
      </c>
      <c r="F114" s="123">
        <f>SUMIFS($L$11:$L$30,$C$11:$C$30,$B114,$T$11:$T$30,$E114)</f>
        <v>0</v>
      </c>
      <c r="G114" s="123">
        <f>SUMIFS($L$40:$L$59,$C$40:$C$59,$B114,$T$40:$T$59,$E114)+SUMIFS($L$68:$L$87,AY68:AY87,B114,$AG$68:$AG$87,E114)+SUMIFS($AE$11:$AE$31,$C$11:$C$31,B114,$T$11:$T$31,E114)</f>
        <v>0</v>
      </c>
      <c r="H114" s="123">
        <f>G114-F114</f>
        <v>0</v>
      </c>
      <c r="I114" s="124" t="s">
        <v>213</v>
      </c>
      <c r="J114" s="161"/>
      <c r="R114" s="733"/>
    </row>
    <row r="115" spans="2:18" s="25" customFormat="1" ht="15.6" customHeight="1">
      <c r="B115" s="739"/>
      <c r="C115" s="740"/>
      <c r="D115" s="741"/>
      <c r="E115" s="125" t="s">
        <v>214</v>
      </c>
      <c r="F115" s="123">
        <f>SUMIFS($L$11:$L$30,$C$11:$C$30,$B114,$T$11:$T$30,$E115)</f>
        <v>0</v>
      </c>
      <c r="G115" s="123">
        <f>SUMIFS($L$40:$L$59,$C$40:$C$59,$B114,$T$40:$T$59,$E115)+SUMIFS($L$68:$L$87,AY68:AY87,B114,$AG$68:$AG$87,E115)+SUMIFS($AE$11:$AE$31,$C$11:$C$31,B114,$T$11:$T$31,E115)</f>
        <v>0</v>
      </c>
      <c r="H115" s="123">
        <f>G115-F115</f>
        <v>0</v>
      </c>
      <c r="I115" s="126" t="str">
        <f>IF(F115=0,"N/A",IF(H115&lt;0,"No ▲","Yes ✓"))</f>
        <v>N/A</v>
      </c>
      <c r="J115" s="161">
        <f>IF(I115="No ▲",1,0)</f>
        <v>0</v>
      </c>
      <c r="R115" s="733"/>
    </row>
    <row r="116" spans="2:18" s="25" customFormat="1" ht="15.6" customHeight="1">
      <c r="B116" s="736" t="s">
        <v>215</v>
      </c>
      <c r="C116" s="737"/>
      <c r="D116" s="738"/>
      <c r="E116" s="122" t="s">
        <v>212</v>
      </c>
      <c r="F116" s="123">
        <f>SUMIFS($L$11:$L$30,$C$11:$C$30,$B116,$T$11:$T$30,$E116)</f>
        <v>0</v>
      </c>
      <c r="G116" s="123">
        <f>SUMIFS($L$40:$L$59,$C$40:$C$59,$B116,$T$40:$T$59,$E116)+SUMIFS($L$68:$L$87,AY68:AY87,B116,$AG$68:$AG$87,E116)+SUMIFS($AE$11:$AE$31,$C$11:$C$31,B116,$T$11:$T$31,E116)</f>
        <v>0</v>
      </c>
      <c r="H116" s="123">
        <f>G116-F116</f>
        <v>0</v>
      </c>
      <c r="I116" s="124" t="s">
        <v>213</v>
      </c>
      <c r="J116" s="161"/>
      <c r="R116" s="733"/>
    </row>
    <row r="117" spans="2:18" s="25" customFormat="1" ht="15.6" customHeight="1">
      <c r="B117" s="739"/>
      <c r="C117" s="740"/>
      <c r="D117" s="741"/>
      <c r="E117" s="125" t="s">
        <v>214</v>
      </c>
      <c r="F117" s="123">
        <f>SUMIFS($L$11:$L$30,$C$11:$C$30,$B116,$T$11:$T$30,$E117)</f>
        <v>0</v>
      </c>
      <c r="G117" s="123">
        <f>SUMIFS($L$40:$L$59,$C$40:$C$59,$B116,$T$40:$T$59,$E117)+SUMIFS($L$68:$L$87,AY68:AY87,B116,$AG$68:$AG$87,E117)+SUMIFS($AE$11:$AE$31,$C$11:$C$31,B116,$T$11:$T$31,E117)</f>
        <v>0</v>
      </c>
      <c r="H117" s="123">
        <f t="shared" ref="H117:H131" si="54">G117-F117</f>
        <v>0</v>
      </c>
      <c r="I117" s="126" t="str">
        <f>IF(F117=0,"N/A",IF(H117&lt;0,"No ▲","Yes ✓"))</f>
        <v>N/A</v>
      </c>
      <c r="J117" s="161">
        <f>IF(I117="No ▲",1,0)</f>
        <v>0</v>
      </c>
      <c r="R117" s="733"/>
    </row>
    <row r="118" spans="2:18" s="25" customFormat="1" ht="15.6" customHeight="1">
      <c r="B118" s="736" t="s">
        <v>216</v>
      </c>
      <c r="C118" s="737"/>
      <c r="D118" s="738"/>
      <c r="E118" s="122" t="s">
        <v>212</v>
      </c>
      <c r="F118" s="123">
        <f>SUMIFS($L$11:$L$30,$C$11:$C$30,$B118,$T$11:$T$30,$E118)</f>
        <v>0</v>
      </c>
      <c r="G118" s="123">
        <f>SUMIFS($L$40:$L$59,$C$40:$C$59,$B118,$T$40:$T$59,$E118)+SUMIFS($L$68:$L$87,$C$68:$C$87,B118,$AG$68:$AG$87,E118)+SUMIFS($AE$11:$AE$31,$C$11:$C$31,B118,$T$11:$T$31,E118)</f>
        <v>0</v>
      </c>
      <c r="H118" s="123">
        <f t="shared" si="54"/>
        <v>0</v>
      </c>
      <c r="I118" s="124" t="s">
        <v>213</v>
      </c>
      <c r="J118" s="161"/>
      <c r="R118" s="733"/>
    </row>
    <row r="119" spans="2:18" s="25" customFormat="1" ht="15.6" customHeight="1">
      <c r="B119" s="739"/>
      <c r="C119" s="740"/>
      <c r="D119" s="741"/>
      <c r="E119" s="125" t="s">
        <v>214</v>
      </c>
      <c r="F119" s="123">
        <f>SUMIFS($L$11:$L$30,$C$11:$C$30,$B118,$T$11:$T$30,$E119)</f>
        <v>0</v>
      </c>
      <c r="G119" s="123">
        <f>SUMIFS($L$40:$L$59,$C$40:$C$59,$B118,$T$40:$T$59,$E119)+SUMIFS($L$68:$L$87,$C$68:$C$87,B118,$AG$68:$AG$87,E119)+SUMIFS($AE$11:$AE$31,$C$11:$C$31,B118,$T$11:$T$31,E119)</f>
        <v>0</v>
      </c>
      <c r="H119" s="123">
        <f t="shared" si="54"/>
        <v>0</v>
      </c>
      <c r="I119" s="126" t="str">
        <f>IF(F119=0,"N/A",IF(H119&lt;0,"No ▲","Yes ✓"))</f>
        <v>N/A</v>
      </c>
      <c r="J119" s="161">
        <f>IF(I119="No ▲",1,0)</f>
        <v>0</v>
      </c>
      <c r="R119" s="733"/>
    </row>
    <row r="120" spans="2:18" s="25" customFormat="1" ht="15.6" customHeight="1">
      <c r="B120" s="736" t="s">
        <v>217</v>
      </c>
      <c r="C120" s="737"/>
      <c r="D120" s="738"/>
      <c r="E120" s="122" t="s">
        <v>212</v>
      </c>
      <c r="F120" s="123">
        <f>SUMIFS($L$11:$L$30,$C$11:$C$30,$B120,$T$11:$T$30,$E120)</f>
        <v>0</v>
      </c>
      <c r="G120" s="123">
        <f>SUMIFS($L$40:$L$59,$C$40:$C$59,$B120,$T$40:$T$59,$E120)+SUMIFS($L$68:$L$87,$C$68:$C$87,B120,$AG$68:$AG$87,E120)+SUMIFS($AE$11:$AE$31,$C$11:$C$31,B120,$T$11:$T$31,E120)</f>
        <v>0</v>
      </c>
      <c r="H120" s="123">
        <f>G120-F120</f>
        <v>0</v>
      </c>
      <c r="I120" s="124" t="s">
        <v>213</v>
      </c>
      <c r="J120" s="161"/>
      <c r="R120" s="733"/>
    </row>
    <row r="121" spans="2:18" s="25" customFormat="1" ht="15.6" customHeight="1">
      <c r="B121" s="739"/>
      <c r="C121" s="740"/>
      <c r="D121" s="741"/>
      <c r="E121" s="125" t="s">
        <v>214</v>
      </c>
      <c r="F121" s="123">
        <f>SUMIFS($L$11:$L$30,$C$11:$C$30,$B120,$T$11:$T$30,$E121)</f>
        <v>0</v>
      </c>
      <c r="G121" s="123">
        <f>SUMIFS($L$40:$L$59,$C$40:$C$59,$B120,$T$40:$T$59,$E121)+SUMIFS($L$68:$L$87,$C$68:$C$87,B120,$AG$68:$AG$87,E121)+SUMIFS($AE$11:$AE$31,$C$11:$C$31,B120,$T$11:$T$31,E121)</f>
        <v>0</v>
      </c>
      <c r="H121" s="123">
        <f t="shared" si="54"/>
        <v>0</v>
      </c>
      <c r="I121" s="126" t="str">
        <f>IF(F121=0,"N/A",IF(H121&lt;0,"No ▲","Yes ✓"))</f>
        <v>N/A</v>
      </c>
      <c r="J121" s="161">
        <f>IF(I121="No ▲",1,0)</f>
        <v>0</v>
      </c>
      <c r="R121" s="733"/>
    </row>
    <row r="122" spans="2:18" s="25" customFormat="1" ht="15.6" customHeight="1">
      <c r="B122" s="736" t="s">
        <v>218</v>
      </c>
      <c r="C122" s="737"/>
      <c r="D122" s="738"/>
      <c r="E122" s="122" t="s">
        <v>212</v>
      </c>
      <c r="F122" s="123">
        <f>SUMIFS($L$11:$L$30,$C$11:$C$30,$B122,$T$11:$T$30,$E122)</f>
        <v>0</v>
      </c>
      <c r="G122" s="123">
        <f>SUMIFS($L$40:$L$59,$C$40:$C$59,$B122,$T$40:$T$59,$E122)+SUMIFS($L$68:$L$87,$C$68:$C$87,B122,$AG$68:$AG$87,E122)+SUMIFS($AE$11:$AE$31,$C$11:$C$31,B122,$T$11:$T$31,E122)</f>
        <v>0</v>
      </c>
      <c r="H122" s="123">
        <f t="shared" si="54"/>
        <v>0</v>
      </c>
      <c r="I122" s="124" t="s">
        <v>213</v>
      </c>
      <c r="J122" s="161"/>
      <c r="R122" s="733"/>
    </row>
    <row r="123" spans="2:18" s="25" customFormat="1" ht="15.6" customHeight="1">
      <c r="B123" s="739"/>
      <c r="C123" s="740"/>
      <c r="D123" s="741"/>
      <c r="E123" s="125" t="s">
        <v>214</v>
      </c>
      <c r="F123" s="123">
        <f>SUMIFS($L$11:$L$30,$C$11:$C$30,$B122,$T$11:$T$30,$E123)</f>
        <v>0</v>
      </c>
      <c r="G123" s="123">
        <f>SUMIFS($L$40:$L$59,$C$40:$C$59,$B$122,$T$40:$T$59,$E$123)+SUMIFS($L$68:$L$87,$C$68:$C$87,$B$122,$AG$68:$AG$87,$E$123)+SUMIFS($AE$11:$AE$31,$C$11:$C$31,$B$122,$T$11:$T$31,$E$123)</f>
        <v>0</v>
      </c>
      <c r="H123" s="123">
        <f t="shared" si="54"/>
        <v>0</v>
      </c>
      <c r="I123" s="126" t="str">
        <f>IF(F123=0,"N/A",IF(H123&lt;0,"No ▲","Yes ✓"))</f>
        <v>N/A</v>
      </c>
      <c r="J123" s="161">
        <f>IF(I123="No ▲",1,0)</f>
        <v>0</v>
      </c>
      <c r="R123" s="733"/>
    </row>
    <row r="124" spans="2:18" s="25" customFormat="1" ht="15.6" customHeight="1">
      <c r="B124" s="736" t="s">
        <v>219</v>
      </c>
      <c r="C124" s="737"/>
      <c r="D124" s="738"/>
      <c r="E124" s="122" t="s">
        <v>212</v>
      </c>
      <c r="F124" s="123">
        <f>SUMIFS($L$11:$L$30,$C$11:$C$30,$B124,$T$11:$T$30,$E124)</f>
        <v>0</v>
      </c>
      <c r="G124" s="123">
        <f>SUMIFS($L$40:$L$59,$C$40:$C$59,$B124,$T$40:$T$59,$E124)+SUMIFS($L$68:$L$87,$C$68:$C$87,B124,$AG$68:$AG$87,E124)+SUMIFS($AE$11:$AE$31,$C$11:$C$31,B124,$T$11:$T$31,E124)</f>
        <v>0</v>
      </c>
      <c r="H124" s="123">
        <f t="shared" si="54"/>
        <v>0</v>
      </c>
      <c r="I124" s="124" t="s">
        <v>213</v>
      </c>
      <c r="J124" s="161"/>
      <c r="R124" s="733"/>
    </row>
    <row r="125" spans="2:18" s="25" customFormat="1" ht="15.6" customHeight="1">
      <c r="B125" s="739"/>
      <c r="C125" s="740"/>
      <c r="D125" s="741"/>
      <c r="E125" s="125" t="s">
        <v>214</v>
      </c>
      <c r="F125" s="123">
        <f>SUMIFS($L$11:$L$30,$C$11:$C$30,$B124,$T$11:$T$30,$E125)</f>
        <v>0</v>
      </c>
      <c r="G125" s="123">
        <f>SUMIFS($L$40:$L$59,$C$40:$C$59,$B$124,$T$40:$T$59,$E125)+SUMIFS($L$68:$L$87,$C$68:$C$87,B124,$AG$68:$AG$87,E125)+SUMIFS($AE$11:$AE$31,$C$11:$C$31,$B$124,$T$11:$T$31,$E$125)</f>
        <v>0</v>
      </c>
      <c r="H125" s="123">
        <f>G125-F125</f>
        <v>0</v>
      </c>
      <c r="I125" s="126" t="str">
        <f>IF(F125=0,"N/A",IF(H125&lt;0,"No ▲","Yes ✓"))</f>
        <v>N/A</v>
      </c>
      <c r="J125" s="161">
        <f>IF(I125="No ▲",1,0)</f>
        <v>0</v>
      </c>
      <c r="R125" s="733"/>
    </row>
    <row r="126" spans="2:18" s="25" customFormat="1" ht="15.6" customHeight="1">
      <c r="B126" s="736" t="s">
        <v>220</v>
      </c>
      <c r="C126" s="737"/>
      <c r="D126" s="738"/>
      <c r="E126" s="122" t="s">
        <v>212</v>
      </c>
      <c r="F126" s="123">
        <f>SUMIFS($L$11:$L$30,$C$11:$C$30,$B126,$T$11:$T$30,$E126)</f>
        <v>0</v>
      </c>
      <c r="G126" s="123">
        <f>SUMIFS($L$40:$L$59,$C$40:$C$59,$B126,$T$40:$T$59,$E126)+SUMIFS($L$68:$L$87,AY68:AY87,B126,$AG$68:$AG$87,E126)+SUMIFS($AE$11:$AE$31,$C$11:$C$31,B126,$T$11:$T$31,E126)</f>
        <v>0</v>
      </c>
      <c r="H126" s="123">
        <f t="shared" si="54"/>
        <v>0</v>
      </c>
      <c r="I126" s="124" t="s">
        <v>213</v>
      </c>
      <c r="J126" s="161"/>
      <c r="R126" s="733"/>
    </row>
    <row r="127" spans="2:18" s="25" customFormat="1" ht="15.6" customHeight="1">
      <c r="B127" s="739"/>
      <c r="C127" s="740"/>
      <c r="D127" s="741"/>
      <c r="E127" s="125" t="s">
        <v>214</v>
      </c>
      <c r="F127" s="123">
        <f>SUMIFS($L$11:$L$30,$C$11:$C$30,$B126,$T$11:$T$30,$E127)</f>
        <v>0</v>
      </c>
      <c r="G127" s="123">
        <f>SUMIFS($L$40:$L$59,$C$40:$C$59,$B126,$T$40:$T$59,$E127)+SUMIFS($L$68:$L$87,AY68:AY87,B126,$AG$68:$AG$87,E127)+SUMIFS($AE$11:$AE$31,$C$11:$C$31,B126,$T$11:$T$31,E127)</f>
        <v>0</v>
      </c>
      <c r="H127" s="123">
        <f t="shared" si="54"/>
        <v>0</v>
      </c>
      <c r="I127" s="126" t="str">
        <f>IF(F127=0,"N/A",IF(H127&lt;0,"No ▲","Yes ✓"))</f>
        <v>N/A</v>
      </c>
      <c r="J127" s="161">
        <f>IF(I127="No ▲",1,0)</f>
        <v>0</v>
      </c>
      <c r="R127" s="733"/>
    </row>
    <row r="128" spans="2:18" s="25" customFormat="1" ht="15.6" customHeight="1">
      <c r="B128" s="736" t="s">
        <v>221</v>
      </c>
      <c r="C128" s="737"/>
      <c r="D128" s="738"/>
      <c r="E128" s="122" t="s">
        <v>212</v>
      </c>
      <c r="F128" s="123">
        <f>SUMIFS($L$11:$L$30,$C$11:$C$30,$B128,$T$11:$T$30,$E128)</f>
        <v>0</v>
      </c>
      <c r="G128" s="123">
        <f>SUMIFS($L$40:$L$59,$C$40:$C$59,$B128,$T$40:$T$59,$E128)+SUMIFS($L$68:$L$87,AY68:AY87,B128,$AG$68:$AG$87,E128)+SUMIFS($AE$11:$AE$31,$C$11:$C$31,B128,$T$11:$T$31,E128)</f>
        <v>0</v>
      </c>
      <c r="H128" s="123">
        <f t="shared" si="54"/>
        <v>0</v>
      </c>
      <c r="I128" s="124" t="s">
        <v>213</v>
      </c>
      <c r="J128" s="161"/>
      <c r="R128" s="733"/>
    </row>
    <row r="129" spans="2:18" s="25" customFormat="1" ht="15.6" customHeight="1">
      <c r="B129" s="739"/>
      <c r="C129" s="740"/>
      <c r="D129" s="741"/>
      <c r="E129" s="125" t="s">
        <v>214</v>
      </c>
      <c r="F129" s="123">
        <f>SUMIFS($L$11:$L$30,$C$11:$C$30,$B128,$T$11:$T$30,$E129)</f>
        <v>0</v>
      </c>
      <c r="G129" s="123">
        <f>SUMIFS($L$40:$L$59,$C$40:$C$59,$B128,$T$40:$T$59,$E129)+SUMIFS($L$68:$L$87,AY68:AY87,B128,$AG$68:$AG$87,E129)+SUMIFS($AE$11:$AE$31,$C$11:$C$31,B128,$T$11:$T$31,E129)</f>
        <v>0</v>
      </c>
      <c r="H129" s="123">
        <f t="shared" si="54"/>
        <v>0</v>
      </c>
      <c r="I129" s="126" t="str">
        <f>IF(F129=0,"N/A",IF(H129&lt;0,"No ▲","Yes ✓"))</f>
        <v>N/A</v>
      </c>
      <c r="J129" s="161">
        <f>IF(I129="No ▲",1,0)</f>
        <v>0</v>
      </c>
      <c r="R129" s="733"/>
    </row>
    <row r="130" spans="2:18" s="25" customFormat="1" ht="15.6" customHeight="1">
      <c r="B130" s="736" t="s">
        <v>222</v>
      </c>
      <c r="C130" s="737"/>
      <c r="D130" s="738"/>
      <c r="E130" s="122" t="s">
        <v>212</v>
      </c>
      <c r="F130" s="123">
        <f>SUMIFS($L$11:$L$30,$C$11:$C$30,$B130,$T$11:$T$30,$E130)</f>
        <v>0</v>
      </c>
      <c r="G130" s="123">
        <f>SUMIFS($L$40:$L$59,$C$40:$C$59,$B130,$T$40:$T$59,$E130)+SUMIFS($L$68:$L$87,$C$68:$C$87,B130,$AG$68:$AG$87,E130)+SUMIFS($AE$11:$AE$31,$C$11:$C$31,B130,$T$11:$T$31,E130)</f>
        <v>0</v>
      </c>
      <c r="H130" s="123">
        <f t="shared" si="54"/>
        <v>0</v>
      </c>
      <c r="I130" s="124" t="s">
        <v>213</v>
      </c>
      <c r="J130" s="161"/>
      <c r="R130" s="733"/>
    </row>
    <row r="131" spans="2:18" s="25" customFormat="1" ht="15.6" customHeight="1">
      <c r="B131" s="739"/>
      <c r="C131" s="740"/>
      <c r="D131" s="741"/>
      <c r="E131" s="125" t="s">
        <v>214</v>
      </c>
      <c r="F131" s="123">
        <f>SUMIFS($L$11:$L$30,$C$11:$C$30,$B130,$T$11:$T$30,$E131)</f>
        <v>0</v>
      </c>
      <c r="G131" s="123">
        <f>SUMIFS($L$40:$L$59,$C$40:$C$59,$B130,$T$40:$T$59,$E131)+SUMIFS($L$68:$L$87,$C$68:$C$87,B130,$AG$68:$AG$87,E131)+SUMIFS($AE$11:$AE$31,$C$11:$C$31,B130,$T$11:$T$31,E131)</f>
        <v>0</v>
      </c>
      <c r="H131" s="123">
        <f t="shared" si="54"/>
        <v>0</v>
      </c>
      <c r="I131" s="126" t="str">
        <f>IF(F131=0,"N/A",IF(H131&lt;0,"No ▲","Yes ✓"))</f>
        <v>N/A</v>
      </c>
      <c r="J131" s="161">
        <f>IF(I131="No ▲",1,0)</f>
        <v>0</v>
      </c>
      <c r="R131" s="733"/>
    </row>
    <row r="132" spans="2:18" s="25" customFormat="1" ht="15.6" customHeight="1">
      <c r="B132" s="736" t="s">
        <v>223</v>
      </c>
      <c r="C132" s="737"/>
      <c r="D132" s="737"/>
      <c r="E132" s="122" t="s">
        <v>212</v>
      </c>
      <c r="F132" s="123">
        <f>SUMIFS($L$11:$L$30,$C$11:$C$30,$B132,$T$11:$T$30,$E132)</f>
        <v>0</v>
      </c>
      <c r="G132" s="123">
        <f>SUMIFS($L$40:$L$59,$C$40:$C$59,$B132,$T$40:$T$59,$E132)+SUMIFS($L$68:$L$87,$C$68:$C$87,B132,$AG$68:$AG$87,E132)+SUMIFS($AE$11:$AE$31,$C$11:$C$31,B132,$T$11:$T$31,E132)</f>
        <v>0</v>
      </c>
      <c r="H132" s="123">
        <f>G132-F132</f>
        <v>0</v>
      </c>
      <c r="I132" s="124" t="s">
        <v>213</v>
      </c>
      <c r="J132" s="161"/>
      <c r="R132" s="733"/>
    </row>
    <row r="133" spans="2:18" s="25" customFormat="1" ht="15.6" customHeight="1">
      <c r="B133" s="751"/>
      <c r="C133" s="752"/>
      <c r="D133" s="752"/>
      <c r="E133" s="379" t="s">
        <v>214</v>
      </c>
      <c r="F133" s="380">
        <f>SUMIFS($L$11:$L$30,$C$11:$C$30,$B132,$T$11:$T$30,$E133)</f>
        <v>0</v>
      </c>
      <c r="G133" s="380">
        <f>SUMIFS($L$40:$L$59,$C$40:$C$59,$B132,$T$40:$T$59,$E133)+SUMIFS($L$68:$L$87,$C$68:$C$87,B132,$AG$68:$AG$87,E133)+SUMIFS($AE$11:$AE$31,$C$11:$C$31,B132,$T$11:$T$31,E133)</f>
        <v>0</v>
      </c>
      <c r="H133" s="380">
        <f>G133-F133</f>
        <v>0</v>
      </c>
      <c r="I133" s="381" t="str">
        <f>IF(F133=0,"N/A",IF(H133&lt;0,"No ▲","Yes ✓"))</f>
        <v>N/A</v>
      </c>
      <c r="J133" s="161">
        <f>IF(I133="No ▲",1,0)</f>
        <v>0</v>
      </c>
      <c r="R133" s="733"/>
    </row>
    <row r="134" spans="2:18" s="25" customFormat="1" ht="15.6" customHeight="1">
      <c r="B134" s="736" t="s">
        <v>102</v>
      </c>
      <c r="C134" s="737"/>
      <c r="D134" s="738"/>
      <c r="E134" s="122" t="s">
        <v>212</v>
      </c>
      <c r="F134" s="123">
        <f>SUMIFS($L$11:$L$31,$C$11:$C$31,$B134,$T$11:$T$31,$E134)</f>
        <v>0</v>
      </c>
      <c r="G134" s="123">
        <f>SUMIFS($L$40:$L$60,$C$40:$C$60,$B134,$T$40:$T$60,$E134)+SUMIFS($L$68:$L$88,$C$68:$C$88,B134,$AG$68:$AG$88,E134)+SUMIFS($AE$11:$AE$31,$C$11:$C$31,B134,$T$11:$T$31,E134)</f>
        <v>0</v>
      </c>
      <c r="H134" s="123">
        <f>G134-F134</f>
        <v>0</v>
      </c>
      <c r="I134" s="124" t="s">
        <v>213</v>
      </c>
      <c r="J134" s="161"/>
      <c r="R134" s="733"/>
    </row>
    <row r="135" spans="2:18" s="25" customFormat="1" ht="23.1" customHeight="1" thickBot="1">
      <c r="B135" s="756"/>
      <c r="C135" s="757"/>
      <c r="D135" s="758"/>
      <c r="E135" s="218" t="s">
        <v>214</v>
      </c>
      <c r="F135" s="219">
        <f>SUMIFS($L$11:$L$31,$C$11:$C$31,$B134,$T$11:$T$31,$E135)</f>
        <v>0</v>
      </c>
      <c r="G135" s="219">
        <f>SUMIFS($L$40:$L$60,$C$40:$C$60,$B134,$T$40:$T$60,$E135)+SUMIFS($L$68:$L$88,$C$68:$C$88,B134,$AG$68:$AG$88,E135)+SUMIFS($AE$11:$AE$31,$C$11:$C$31,B134,$T$11:$T$31,E135)</f>
        <v>0</v>
      </c>
      <c r="H135" s="219">
        <f>G135-F135</f>
        <v>0</v>
      </c>
      <c r="I135" s="510" t="str">
        <f>IF(F135=0,"N/A",IF(H135&lt;0,"No ▲","Yes ✓"))</f>
        <v>N/A</v>
      </c>
      <c r="J135" s="161">
        <f t="shared" ref="J135:J140" si="55">IF(I135="No ▲",1,0)</f>
        <v>0</v>
      </c>
      <c r="R135" s="733"/>
    </row>
    <row r="136" spans="2:18" s="25" customFormat="1" ht="15.6" customHeight="1" thickBot="1">
      <c r="J136" s="161"/>
      <c r="M136" s="26"/>
      <c r="R136" s="733"/>
    </row>
    <row r="137" spans="2:18" s="25" customFormat="1" ht="36">
      <c r="B137" s="753" t="s">
        <v>206</v>
      </c>
      <c r="C137" s="754"/>
      <c r="D137" s="754"/>
      <c r="E137" s="755"/>
      <c r="F137" s="127" t="s">
        <v>207</v>
      </c>
      <c r="G137" s="127" t="s">
        <v>208</v>
      </c>
      <c r="H137" s="127" t="s">
        <v>209</v>
      </c>
      <c r="I137" s="128" t="s">
        <v>210</v>
      </c>
      <c r="J137" s="161"/>
      <c r="M137" s="26"/>
      <c r="R137" s="733"/>
    </row>
    <row r="138" spans="2:18" s="25" customFormat="1" ht="30.6" customHeight="1">
      <c r="B138" s="745" t="s">
        <v>224</v>
      </c>
      <c r="C138" s="746"/>
      <c r="D138" s="746"/>
      <c r="E138" s="747"/>
      <c r="F138" s="123">
        <f>SUMIFS($L$11:$L$31,$T$11:$T$31,"Medium")</f>
        <v>0</v>
      </c>
      <c r="G138" s="160">
        <f>IF(L61+L89+P1=0,0,SUMIFS($L$40:$L$60,$T$40:$T$60,"Medium")+SUMIFS($L$68:$L$87,$AG$68:$AG$87,"Medium")+SUMIFS($AE$11:$AE$31,$T$11:$T$31,"Medium"))</f>
        <v>0</v>
      </c>
      <c r="H138" s="123">
        <f>IFERROR(G138-F138,"")</f>
        <v>0</v>
      </c>
      <c r="I138" s="333" t="str">
        <f>IF(G138="","",IF(H138&gt;=0,"Yes ✓","No ▲"))</f>
        <v>Yes ✓</v>
      </c>
      <c r="J138" s="161">
        <f t="shared" si="55"/>
        <v>0</v>
      </c>
      <c r="R138" s="733" t="s">
        <v>64</v>
      </c>
    </row>
    <row r="139" spans="2:18" s="25" customFormat="1" ht="30.6" customHeight="1">
      <c r="B139" s="745" t="s">
        <v>225</v>
      </c>
      <c r="C139" s="746"/>
      <c r="D139" s="746"/>
      <c r="E139" s="747"/>
      <c r="F139" s="123">
        <f>SUMIFS($L$11:$L$31,$T$11:$T$31,"Low")</f>
        <v>0</v>
      </c>
      <c r="G139" s="160">
        <f>IF(L61+L89+P1=0,0,SUMIFS($L$40:$L$60,$T$40:$T$60,"Low")+SUMIFS($L$68:$L$88,$AG$68:$AG$88,"Low")+SUMIFS($AE$11:$AE$31,$T$11:$T$31,"Low"))</f>
        <v>0</v>
      </c>
      <c r="H139" s="123">
        <f>IFERROR(G139-F139,"")</f>
        <v>0</v>
      </c>
      <c r="I139" s="333" t="str">
        <f>IF($I$142&gt;=0,"Yes ✓","No ▲")</f>
        <v>Yes ✓</v>
      </c>
      <c r="J139" s="161">
        <f t="shared" si="55"/>
        <v>0</v>
      </c>
      <c r="R139" s="733"/>
    </row>
    <row r="140" spans="2:18" s="25" customFormat="1" ht="41.25" customHeight="1" thickBot="1">
      <c r="B140" s="748" t="s">
        <v>226</v>
      </c>
      <c r="C140" s="749"/>
      <c r="D140" s="749"/>
      <c r="E140" s="750"/>
      <c r="F140" s="742">
        <f>IFERROR(H138+H139,"")</f>
        <v>0</v>
      </c>
      <c r="G140" s="743"/>
      <c r="H140" s="744"/>
      <c r="I140" s="334" t="str">
        <f>IF(F140="","",IF(F140&gt;=0,"Yes ✓","No ▲"))</f>
        <v>Yes ✓</v>
      </c>
      <c r="J140" s="161">
        <f t="shared" si="55"/>
        <v>0</v>
      </c>
      <c r="R140" s="733"/>
    </row>
    <row r="141" spans="2:18" s="25" customFormat="1">
      <c r="R141" s="733"/>
    </row>
    <row r="142" spans="2:18" s="25" customFormat="1">
      <c r="I142" s="442">
        <f>IF($H$138&gt;0,($H$139+$H$138),$H$139)</f>
        <v>0</v>
      </c>
      <c r="R142" s="733"/>
    </row>
    <row r="143" spans="2:18" s="25" customFormat="1">
      <c r="R143" s="733"/>
    </row>
    <row r="144" spans="2:18" s="25" customFormat="1">
      <c r="R144" s="733"/>
    </row>
    <row r="145" spans="18:18" s="25" customFormat="1">
      <c r="R145" s="733"/>
    </row>
    <row r="146" spans="18:18" s="25" customFormat="1">
      <c r="R146" s="733"/>
    </row>
    <row r="147" spans="18:18" s="25" customFormat="1">
      <c r="R147" s="733"/>
    </row>
    <row r="148" spans="18:18" s="25" customFormat="1">
      <c r="R148" s="733"/>
    </row>
    <row r="149" spans="18:18" s="25" customFormat="1">
      <c r="R149" s="733"/>
    </row>
    <row r="150" spans="18:18" s="25" customFormat="1">
      <c r="R150" s="733"/>
    </row>
    <row r="151" spans="18:18" s="25" customFormat="1">
      <c r="R151" s="733"/>
    </row>
    <row r="152" spans="18:18" s="25" customFormat="1">
      <c r="R152" s="733"/>
    </row>
    <row r="153" spans="18:18" s="25" customFormat="1">
      <c r="R153" s="733"/>
    </row>
    <row r="154" spans="18:18" s="25" customFormat="1">
      <c r="R154" s="733"/>
    </row>
    <row r="155" spans="18:18" s="25" customFormat="1">
      <c r="R155" s="733"/>
    </row>
    <row r="156" spans="18:18" s="25" customFormat="1">
      <c r="R156" s="733"/>
    </row>
    <row r="157" spans="18:18" s="25" customFormat="1">
      <c r="R157" s="733"/>
    </row>
    <row r="158" spans="18:18" s="25" customFormat="1">
      <c r="R158" s="733"/>
    </row>
    <row r="159" spans="18:18" s="25" customFormat="1">
      <c r="R159" s="733"/>
    </row>
    <row r="160" spans="18:18" s="25" customFormat="1">
      <c r="R160" s="733"/>
    </row>
    <row r="161" spans="18:18" s="25" customFormat="1">
      <c r="R161" s="733"/>
    </row>
    <row r="162" spans="18:18" s="25" customFormat="1">
      <c r="R162" s="733"/>
    </row>
    <row r="163" spans="18:18" s="25" customFormat="1">
      <c r="R163" s="733"/>
    </row>
    <row r="164" spans="18:18" s="25" customFormat="1">
      <c r="R164" s="733"/>
    </row>
    <row r="165" spans="18:18" s="25" customFormat="1">
      <c r="R165" s="733"/>
    </row>
    <row r="166" spans="18:18" s="25" customFormat="1">
      <c r="R166" s="733"/>
    </row>
    <row r="167" spans="18:18" s="25" customFormat="1">
      <c r="R167" s="733"/>
    </row>
    <row r="168" spans="18:18" s="25" customFormat="1">
      <c r="R168" s="733"/>
    </row>
    <row r="169" spans="18:18" s="25" customFormat="1">
      <c r="R169" s="733"/>
    </row>
  </sheetData>
  <sheetProtection algorithmName="SHA-512" hashValue="xcV4Km4BNir/CsRC8Beu6qJyRWmEFPb4S0E5nMLE44LOzSziD+Gyw62Y2SX3GEg/gJHuCJEpvKZp+tdtX4SeKw==" saltValue="W1rspN0rKqDpM/3olxq8MQ=="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formula1>INDIRECT(SUBSTITUTE(C11," ",""))</formula1>
    </dataValidation>
    <dataValidation type="list" allowBlank="1" showInputMessage="1" showErrorMessage="1" sqref="BX63">
      <formula1>INDIRECT("BV68:BV"&amp;BV63+67)</formula1>
    </dataValidation>
    <dataValidation type="list" allowBlank="1" showInputMessage="1" showErrorMessage="1" sqref="F68:G87">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'11. Lists'!$A$2:$A$11</xm:f>
          </x14:formula1>
          <xm:sqref>C40:C59 C11:C30</xm:sqref>
        </x14:dataValidation>
        <x14:dataValidation type="list" allowBlank="1" showInputMessage="1" showErrorMessage="1">
          <x14:formula1>
            <xm:f>'11. Lists'!$F$36:$F$37</xm:f>
          </x14:formula1>
          <xm:sqref>H40:H60 H68:H88 F11:H31</xm:sqref>
        </x14:dataValidation>
        <x14:dataValidation type="list" allowBlank="1" showInputMessage="1" showErrorMessage="1">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3300"/>
    <pageSetUpPr fitToPage="1"/>
  </sheetPr>
  <dimension ref="A1:CB127"/>
  <sheetViews>
    <sheetView topLeftCell="F1" zoomScale="90" zoomScaleNormal="90" workbookViewId="0">
      <selection activeCell="J2" sqref="J2:M5"/>
    </sheetView>
  </sheetViews>
  <sheetFormatPr defaultColWidth="0" defaultRowHeight="14.4" zeroHeight="1"/>
  <cols>
    <col min="1" max="1" width="4.5546875" customWidth="1"/>
    <col min="2" max="2" width="14.77734375" customWidth="1"/>
    <col min="3" max="3" width="24.44140625" bestFit="1" customWidth="1"/>
    <col min="4" max="4" width="40.21875" customWidth="1"/>
    <col min="5" max="5" width="27" customWidth="1"/>
    <col min="6" max="6" width="18.5546875" customWidth="1"/>
    <col min="7" max="7" width="39.77734375" customWidth="1"/>
    <col min="8" max="8" width="49.21875" bestFit="1"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2.5546875" customWidth="1"/>
    <col min="20" max="20" width="16.7773437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2"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65.77734375" bestFit="1" customWidth="1"/>
    <col min="35" max="35" width="207" bestFit="1" customWidth="1"/>
    <col min="36" max="36" width="23.5546875" customWidth="1"/>
    <col min="37" max="37" width="23.5546875" hidden="1" customWidth="1"/>
    <col min="38" max="38" width="16.77734375" hidden="1" customWidth="1"/>
    <col min="39" max="39" width="13.21875" hidden="1" customWidth="1"/>
    <col min="40" max="40" width="12.2187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3.21875" customWidth="1"/>
    <col min="52" max="52" width="24.44140625" customWidth="1"/>
    <col min="53" max="53" width="18.77734375" customWidth="1"/>
    <col min="54" max="73" width="31.77734375" customWidth="1"/>
    <col min="74" max="74" width="15.5546875" customWidth="1"/>
    <col min="75" max="80" width="8.77734375" customWidth="1"/>
    <col min="81" max="16384" width="8.77734375" hidden="1"/>
  </cols>
  <sheetData>
    <row r="1" spans="1:35" s="25" customFormat="1" ht="15.75" customHeight="1" thickBot="1">
      <c r="I1" s="52"/>
      <c r="J1" s="52"/>
      <c r="K1" s="52"/>
      <c r="L1" s="52"/>
      <c r="M1" s="52"/>
      <c r="N1" s="52"/>
      <c r="O1" s="158" t="s">
        <v>63</v>
      </c>
      <c r="P1" s="281">
        <f>IFERROR(SUM(AE11:AE30), "Error ▲")</f>
        <v>0</v>
      </c>
      <c r="R1" s="733" t="s">
        <v>64</v>
      </c>
      <c r="T1" s="26"/>
    </row>
    <row r="2" spans="1:35" s="25" customFormat="1" ht="19.95" customHeight="1">
      <c r="B2" s="80" t="s">
        <v>65</v>
      </c>
      <c r="C2" s="696" t="str">
        <f>IF('2. Site Details'!D4="","Enter site name on 2. Site Details",'2. Site Details'!D4)</f>
        <v>Lantern Courtyard, The Barn, The Street, Bramley, RG26 5DE</v>
      </c>
      <c r="D2" s="697"/>
      <c r="F2" s="762" t="s">
        <v>227</v>
      </c>
      <c r="G2" s="763"/>
      <c r="H2" s="764"/>
      <c r="I2" s="52"/>
      <c r="J2" s="776" t="str" cm="1">
        <f t="array" aca="1" ref="J2" ca="1">IFERROR(IF(OR((ISNUMBER(SEARCH("▲",A7:Q101)))),"Input Errors Present On Sheet - Red Cells Or ▲ Highlight Errors","All Key Rules Satisfied ✓ "),"Technical Errors On Sheet ▲")</f>
        <v>Input Errors Present On Sheet - Red Cells Or ▲ Highlight Errors</v>
      </c>
      <c r="K2" s="776"/>
      <c r="L2" s="776"/>
      <c r="M2" s="776"/>
      <c r="N2" s="81"/>
      <c r="O2" s="83" t="s">
        <v>67</v>
      </c>
      <c r="P2" s="281">
        <f>IFERROR(N31, "Error ▲")</f>
        <v>0.04</v>
      </c>
      <c r="R2" s="733"/>
      <c r="T2" s="26"/>
    </row>
    <row r="3" spans="1:35" s="25" customFormat="1" ht="19.95" customHeight="1" thickBot="1">
      <c r="B3" s="82" t="s">
        <v>16</v>
      </c>
      <c r="C3" s="698" t="s">
        <v>228</v>
      </c>
      <c r="D3" s="699"/>
      <c r="F3" s="765"/>
      <c r="G3" s="766"/>
      <c r="H3" s="767"/>
      <c r="I3" s="52"/>
      <c r="J3" s="776"/>
      <c r="K3" s="776"/>
      <c r="L3" s="776"/>
      <c r="M3" s="776"/>
      <c r="N3" s="81"/>
      <c r="O3" s="83" t="s">
        <v>69</v>
      </c>
      <c r="P3" s="281">
        <f>IFERROR(L59, "Error ▲")</f>
        <v>0</v>
      </c>
      <c r="R3" s="733"/>
      <c r="T3" s="26"/>
    </row>
    <row r="4" spans="1:35" s="25" customFormat="1" ht="19.95" customHeight="1">
      <c r="B4" s="84"/>
      <c r="C4" s="84"/>
      <c r="D4" s="84"/>
      <c r="F4" s="765"/>
      <c r="G4" s="766"/>
      <c r="H4" s="767"/>
      <c r="I4" s="52"/>
      <c r="J4" s="776"/>
      <c r="K4" s="776"/>
      <c r="L4" s="776"/>
      <c r="M4" s="776"/>
      <c r="N4" s="81"/>
      <c r="O4" s="83" t="s">
        <v>70</v>
      </c>
      <c r="P4" s="281">
        <f>IFERROR(L86, "Error ▲")</f>
        <v>0</v>
      </c>
      <c r="R4" s="733"/>
      <c r="T4" s="26"/>
    </row>
    <row r="5" spans="1:35" s="25" customFormat="1" ht="19.95" customHeight="1" thickBot="1">
      <c r="A5" s="85"/>
      <c r="F5" s="765"/>
      <c r="G5" s="766"/>
      <c r="H5" s="767"/>
      <c r="I5" s="52"/>
      <c r="J5" s="776"/>
      <c r="K5" s="776"/>
      <c r="L5" s="776"/>
      <c r="M5" s="776"/>
      <c r="N5" s="81"/>
      <c r="O5" s="86" t="s">
        <v>71</v>
      </c>
      <c r="P5" s="282">
        <f>IFERROR(P1+L59+L86-L31, "Error ▲")</f>
        <v>-0.04</v>
      </c>
      <c r="R5" s="733"/>
      <c r="T5" s="26"/>
    </row>
    <row r="6" spans="1:35" s="25" customFormat="1" ht="13.2" customHeight="1" thickBot="1">
      <c r="A6" s="85"/>
      <c r="F6" s="768"/>
      <c r="G6" s="769"/>
      <c r="H6" s="770"/>
      <c r="I6" s="52"/>
      <c r="J6" s="52"/>
      <c r="K6" s="52"/>
      <c r="L6" s="52"/>
      <c r="M6" s="52"/>
      <c r="N6" s="52"/>
      <c r="O6" s="87"/>
      <c r="P6" s="87"/>
      <c r="R6" s="733"/>
      <c r="T6" s="26"/>
    </row>
    <row r="7" spans="1:35" s="25" customFormat="1" ht="19.2" customHeight="1">
      <c r="B7" s="57" t="s">
        <v>72</v>
      </c>
      <c r="D7" s="88"/>
      <c r="H7" s="26"/>
      <c r="K7" s="26"/>
      <c r="L7" s="30"/>
      <c r="M7" s="30"/>
      <c r="N7" s="30"/>
      <c r="R7" s="733"/>
      <c r="T7" s="26"/>
    </row>
    <row r="8" spans="1:35" s="25" customFormat="1" ht="10.95" customHeight="1" thickBot="1">
      <c r="A8" s="89"/>
      <c r="R8" s="733"/>
    </row>
    <row r="9" spans="1:35" s="25" customFormat="1" ht="29.55" customHeight="1">
      <c r="A9" s="89"/>
      <c r="B9" s="711" t="s">
        <v>58</v>
      </c>
      <c r="C9" s="700" t="s">
        <v>73</v>
      </c>
      <c r="D9" s="710"/>
      <c r="E9" s="702"/>
      <c r="F9" s="646" t="s">
        <v>74</v>
      </c>
      <c r="G9" s="774"/>
      <c r="H9" s="647"/>
      <c r="I9" s="700" t="s">
        <v>229</v>
      </c>
      <c r="J9" s="710"/>
      <c r="K9" s="702"/>
      <c r="L9" s="788" t="s">
        <v>76</v>
      </c>
      <c r="M9" s="789"/>
      <c r="N9" s="790"/>
      <c r="O9" s="788" t="s">
        <v>77</v>
      </c>
      <c r="P9" s="790"/>
      <c r="R9" s="733"/>
      <c r="T9" s="676" t="s">
        <v>78</v>
      </c>
      <c r="U9" s="677"/>
      <c r="V9" s="868"/>
      <c r="W9" s="676" t="s">
        <v>79</v>
      </c>
      <c r="X9" s="678"/>
      <c r="Y9" s="792"/>
      <c r="Z9" s="792"/>
      <c r="AA9" s="792"/>
      <c r="AB9" s="791" t="s">
        <v>80</v>
      </c>
      <c r="AC9" s="677"/>
      <c r="AD9" s="678"/>
      <c r="AE9" s="676" t="s">
        <v>81</v>
      </c>
      <c r="AF9" s="677"/>
      <c r="AG9" s="678"/>
      <c r="AH9" s="676" t="s">
        <v>82</v>
      </c>
      <c r="AI9" s="678" t="s">
        <v>83</v>
      </c>
    </row>
    <row r="10" spans="1:35" s="25" customFormat="1" ht="32.549999999999997" customHeight="1" thickBot="1">
      <c r="A10" s="89"/>
      <c r="B10" s="659"/>
      <c r="C10" s="86" t="s">
        <v>84</v>
      </c>
      <c r="D10" s="761" t="s">
        <v>85</v>
      </c>
      <c r="E10" s="873"/>
      <c r="F10" s="648"/>
      <c r="G10" s="775"/>
      <c r="H10" s="649"/>
      <c r="I10" s="86" t="s">
        <v>230</v>
      </c>
      <c r="J10" s="201" t="s">
        <v>231</v>
      </c>
      <c r="K10" s="90" t="s">
        <v>232</v>
      </c>
      <c r="L10" s="400" t="s">
        <v>233</v>
      </c>
      <c r="M10" s="401" t="s">
        <v>234</v>
      </c>
      <c r="N10" s="402" t="s">
        <v>91</v>
      </c>
      <c r="O10" s="86" t="s">
        <v>92</v>
      </c>
      <c r="P10" s="90" t="s">
        <v>93</v>
      </c>
      <c r="R10" s="733"/>
      <c r="T10" s="777" t="s">
        <v>94</v>
      </c>
      <c r="U10" s="778"/>
      <c r="V10" s="345" t="s">
        <v>95</v>
      </c>
      <c r="W10" s="91" t="s">
        <v>96</v>
      </c>
      <c r="X10" s="92" t="s">
        <v>95</v>
      </c>
      <c r="Y10" s="350"/>
      <c r="Z10" s="350"/>
      <c r="AA10" s="350"/>
      <c r="AB10" s="338" t="s">
        <v>80</v>
      </c>
      <c r="AC10" s="49" t="s">
        <v>80</v>
      </c>
      <c r="AD10" s="92" t="s">
        <v>97</v>
      </c>
      <c r="AE10" s="91" t="s">
        <v>98</v>
      </c>
      <c r="AF10" s="49" t="s">
        <v>99</v>
      </c>
      <c r="AG10" s="92" t="s">
        <v>100</v>
      </c>
      <c r="AH10" s="777"/>
      <c r="AI10" s="872"/>
    </row>
    <row r="11" spans="1:35" s="25" customFormat="1" ht="28.8">
      <c r="A11" s="89"/>
      <c r="B11" s="274">
        <v>1</v>
      </c>
      <c r="C11" s="390" t="s">
        <v>235</v>
      </c>
      <c r="D11" s="874" t="s">
        <v>244</v>
      </c>
      <c r="E11" s="875"/>
      <c r="F11" s="876" t="s">
        <v>124</v>
      </c>
      <c r="G11" s="877"/>
      <c r="H11" s="878"/>
      <c r="I11" s="306">
        <v>5</v>
      </c>
      <c r="J11" s="307"/>
      <c r="K11" s="308"/>
      <c r="L11" s="299">
        <f>IF(D11="","",IFERROR(IF(I11="","",((I11/1000)*V11*X11)*AD11),"This intervention is not permitted within the SSM ▲"))</f>
        <v>0.04</v>
      </c>
      <c r="M11" s="318">
        <f>IF(I11="","",IF(J11+K11&gt;I11,"Length Error ▲",I11-J11-K11))</f>
        <v>5</v>
      </c>
      <c r="N11" s="300">
        <f>IFERROR(IF(I11="","",IF(M11="Length Error ▲","Length Error ▲",((M11/1000)*V11*X11)*AD11)),"This intervention is not permitted within the SSM ▲")</f>
        <v>0.04</v>
      </c>
      <c r="O11" s="147"/>
      <c r="P11" s="148"/>
      <c r="R11" s="733"/>
      <c r="T11" s="779" t="str">
        <f>IF(D11="","",VLOOKUP(D11,'9. All Habitats + Multipliers'!$C$4:$K$102,5,FALSE))</f>
        <v>Medium</v>
      </c>
      <c r="U11" s="780"/>
      <c r="V11" s="348">
        <f>IF(T11="","",VLOOKUP(T11,'11. Lists'!$S$47:$U$50,2,FALSE))</f>
        <v>4</v>
      </c>
      <c r="W11" s="93" t="str">
        <f>IF(D11="","",VLOOKUP(D11,'10. Condition and Temporal'!$B$6:$C$103,2,FALSE))</f>
        <v>Moderate</v>
      </c>
      <c r="X11" s="94">
        <f>IF(W11="","",VLOOKUP(W11,'11. Lists'!$F$47:$G$51,2,FALSE))</f>
        <v>2</v>
      </c>
      <c r="Y11" s="48"/>
      <c r="Z11" s="48"/>
      <c r="AA11" s="48"/>
      <c r="AB11" s="188" t="str">
        <f>IF(F11="","",F11)</f>
        <v>Area/compensation not in local strategy/ no local strategy</v>
      </c>
      <c r="AC11" s="95" t="str">
        <f>IF(AB11="","",VLOOKUP(AB11,'11. Lists'!$F$36:$H$38,2,FALSE))</f>
        <v>Low Strategic Significance</v>
      </c>
      <c r="AD11" s="94">
        <f>IF(AB11="","",VLOOKUP(AB11,'11. Lists'!$F$36:$H$38,3,FALSE))</f>
        <v>1</v>
      </c>
      <c r="AE11" s="302">
        <f>IF(D11="","",((J11/1000)*V11*X11)*AD11)</f>
        <v>0</v>
      </c>
      <c r="AF11" s="303">
        <f>IF(D11="","",((K11/1000)*V11*X11)*AD11)</f>
        <v>0</v>
      </c>
      <c r="AG11" s="96">
        <f>IF(D11="","",M11)</f>
        <v>5</v>
      </c>
      <c r="AH11" s="93" t="str">
        <f>IF(T11="","",VLOOKUP(T11,'11. Lists'!$B$47:$D$49,3,FALSE))</f>
        <v>Same broad habitat or a higher distinctiveness habitat required</v>
      </c>
      <c r="AI11" s="94" t="str">
        <f>IF(D11="","",VLOOKUP(D11,'10. Condition and Temporal'!$B$6:$L$103,4,FALSE))</f>
        <v>Native hedgerow with trees</v>
      </c>
    </row>
    <row r="12" spans="1:35" s="25" customFormat="1" ht="28.8">
      <c r="B12" s="268">
        <v>2</v>
      </c>
      <c r="C12" s="390" t="s">
        <v>235</v>
      </c>
      <c r="D12" s="818"/>
      <c r="E12" s="819"/>
      <c r="F12" s="869"/>
      <c r="G12" s="870"/>
      <c r="H12" s="871"/>
      <c r="I12" s="309"/>
      <c r="J12" s="310"/>
      <c r="K12" s="311"/>
      <c r="L12" s="298" t="str">
        <f t="shared" ref="L12:L30" si="0">IF(D12="","",IFERROR(IF(I12="","",((I12/1000)*V12*X12)*AD12),"This intervention is not permitted within the SSM ▲"))</f>
        <v/>
      </c>
      <c r="M12" s="305" t="str">
        <f t="shared" ref="M12:M30" si="1">IF(I12="","",IF(J12+K12&gt;I12,"Length Error ▲",I12-J12-K12))</f>
        <v/>
      </c>
      <c r="N12" s="294" t="str">
        <f t="shared" ref="N12:N30" si="2">IFERROR(IF(I12="","",IF(M12="Length Error ▲","Length Error ▲",((M12/1000)*V12*X12)*AD12)),"This intervention is not permitted within the SSM ▲")</f>
        <v/>
      </c>
      <c r="O12" s="68"/>
      <c r="P12" s="3"/>
      <c r="R12" s="733"/>
      <c r="T12" s="779" t="str">
        <f>IF(D12="","",VLOOKUP(D12,'9. All Habitats + Multipliers'!$C$4:$K$102,5,FALSE))</f>
        <v/>
      </c>
      <c r="U12" s="780"/>
      <c r="V12" s="348" t="str">
        <f>IF(T12="","",VLOOKUP(T12,'11. Lists'!$S$47:$U$50,2,FALSE))</f>
        <v/>
      </c>
      <c r="W12" s="93" t="str">
        <f>IF(D12="","",VLOOKUP(D12,'10. Condition and Temporal'!$B$6:$C$103,2,FALSE))</f>
        <v/>
      </c>
      <c r="X12" s="94" t="str">
        <f>IF(W12="","",VLOOKUP(W12,'11. Lists'!$F$47:$G$51,2,FALSE))</f>
        <v/>
      </c>
      <c r="Y12" s="48"/>
      <c r="Z12" s="48"/>
      <c r="AA12" s="48"/>
      <c r="AB12" s="188" t="str">
        <f>IF(F12="","",F12)</f>
        <v/>
      </c>
      <c r="AC12" s="95" t="str">
        <f>IF(AB12="","",VLOOKUP(AB12,'11. Lists'!$F$36:$H$38,2,FALSE))</f>
        <v/>
      </c>
      <c r="AD12" s="94" t="str">
        <f>IF(AB12="","",VLOOKUP(AB12,'11. Lists'!$F$36:$H$38,3,FALSE))</f>
        <v/>
      </c>
      <c r="AE12" s="302" t="str">
        <f t="shared" ref="AE12:AE30" si="3">IF(D12="","",((J12/1000)*V12*X12)*AD12)</f>
        <v/>
      </c>
      <c r="AF12" s="303"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28.8">
      <c r="B13" s="268">
        <v>3</v>
      </c>
      <c r="C13" s="390" t="s">
        <v>235</v>
      </c>
      <c r="D13" s="818"/>
      <c r="E13" s="819"/>
      <c r="F13" s="869"/>
      <c r="G13" s="870"/>
      <c r="H13" s="871"/>
      <c r="I13" s="309"/>
      <c r="J13" s="310"/>
      <c r="K13" s="311"/>
      <c r="L13" s="298" t="str">
        <f t="shared" si="0"/>
        <v/>
      </c>
      <c r="M13" s="305" t="str">
        <f t="shared" si="1"/>
        <v/>
      </c>
      <c r="N13" s="294" t="str">
        <f t="shared" si="2"/>
        <v/>
      </c>
      <c r="O13" s="290"/>
      <c r="P13" s="3"/>
      <c r="R13" s="733"/>
      <c r="T13" s="779" t="str">
        <f>IF(D13="","",VLOOKUP(D13,'9. All Habitats + Multipliers'!$C$4:$K$102,5,FALSE))</f>
        <v/>
      </c>
      <c r="U13" s="780"/>
      <c r="V13" s="348" t="str">
        <f>IF(T13="","",VLOOKUP(T13,'11. Lists'!$S$47:$U$50,2,FALSE))</f>
        <v/>
      </c>
      <c r="W13" s="93" t="str">
        <f>IF(D13="","",VLOOKUP(D13,'10. Condition and Temporal'!$B$6:$C$103,2,FALSE))</f>
        <v/>
      </c>
      <c r="X13" s="94" t="str">
        <f>IF(W13="","",VLOOKUP(W13,'11. Lists'!$F$47:$G$51,2,FALSE))</f>
        <v/>
      </c>
      <c r="Y13" s="48"/>
      <c r="Z13" s="48"/>
      <c r="AA13" s="48"/>
      <c r="AB13" s="188" t="str">
        <f t="shared" ref="AB13:AB30" si="6">IF(F13="","",F13)</f>
        <v/>
      </c>
      <c r="AC13" s="95" t="str">
        <f>IF(AB13="","",VLOOKUP(AB13,'11. Lists'!$F$36:$H$38,2,FALSE))</f>
        <v/>
      </c>
      <c r="AD13" s="94" t="str">
        <f>IF(AB13="","",VLOOKUP(AB13,'11. Lists'!$F$36:$H$38,3,FALSE))</f>
        <v/>
      </c>
      <c r="AE13" s="302" t="str">
        <f t="shared" si="3"/>
        <v/>
      </c>
      <c r="AF13" s="303" t="str">
        <f t="shared" si="4"/>
        <v/>
      </c>
      <c r="AG13" s="96" t="str">
        <f t="shared" si="5"/>
        <v/>
      </c>
      <c r="AH13" s="93" t="str">
        <f>IF(T13="","",VLOOKUP(T13,'11. Lists'!$B$47:$D$49,3,FALSE))</f>
        <v/>
      </c>
      <c r="AI13" s="94" t="str">
        <f>IF(D13="","",VLOOKUP(D13,'10. Condition and Temporal'!$B$6:$L$103,4,FALSE))</f>
        <v/>
      </c>
    </row>
    <row r="14" spans="1:35" s="25" customFormat="1" ht="28.8">
      <c r="B14" s="268">
        <v>4</v>
      </c>
      <c r="C14" s="390" t="s">
        <v>235</v>
      </c>
      <c r="D14" s="818"/>
      <c r="E14" s="819"/>
      <c r="F14" s="869"/>
      <c r="G14" s="870"/>
      <c r="H14" s="871"/>
      <c r="I14" s="309"/>
      <c r="J14" s="310"/>
      <c r="K14" s="311"/>
      <c r="L14" s="298" t="str">
        <f t="shared" si="0"/>
        <v/>
      </c>
      <c r="M14" s="305" t="str">
        <f t="shared" si="1"/>
        <v/>
      </c>
      <c r="N14" s="294" t="str">
        <f t="shared" si="2"/>
        <v/>
      </c>
      <c r="O14" s="68"/>
      <c r="P14" s="3"/>
      <c r="R14" s="733"/>
      <c r="T14" s="779" t="str">
        <f>IF(D14="","",VLOOKUP(D14,'9. All Habitats + Multipliers'!$C$4:$K$102,5,FALSE))</f>
        <v/>
      </c>
      <c r="U14" s="780"/>
      <c r="V14" s="348" t="str">
        <f>IF(T14="","",VLOOKUP(T14,'11. Lists'!$S$47:$U$50,2,FALSE))</f>
        <v/>
      </c>
      <c r="W14" s="93" t="str">
        <f>IF(D14="","",VLOOKUP(D14,'10. Condition and Temporal'!$B$6:$C$103,2,FALSE))</f>
        <v/>
      </c>
      <c r="X14" s="94" t="str">
        <f>IF(W14="","",VLOOKUP(W14,'11. Lists'!$F$47:$G$51,2,FALSE))</f>
        <v/>
      </c>
      <c r="Y14" s="48"/>
      <c r="Z14" s="48"/>
      <c r="AA14" s="48"/>
      <c r="AB14" s="188" t="str">
        <f t="shared" si="6"/>
        <v/>
      </c>
      <c r="AC14" s="95" t="str">
        <f>IF(AB14="","",VLOOKUP(AB14,'11. Lists'!$F$36:$H$38,2,FALSE))</f>
        <v/>
      </c>
      <c r="AD14" s="94" t="str">
        <f>IF(AB14="","",VLOOKUP(AB14,'11. Lists'!$F$36:$H$38,3,FALSE))</f>
        <v/>
      </c>
      <c r="AE14" s="302" t="str">
        <f t="shared" si="3"/>
        <v/>
      </c>
      <c r="AF14" s="303" t="str">
        <f t="shared" si="4"/>
        <v/>
      </c>
      <c r="AG14" s="96" t="str">
        <f t="shared" si="5"/>
        <v/>
      </c>
      <c r="AH14" s="93" t="str">
        <f>IF(T14="","",VLOOKUP(T14,'11. Lists'!$B$47:$D$49,3,FALSE))</f>
        <v/>
      </c>
      <c r="AI14" s="94" t="str">
        <f>IF(D14="","",VLOOKUP(D14,'10. Condition and Temporal'!$B$6:$L$103,4,FALSE))</f>
        <v/>
      </c>
    </row>
    <row r="15" spans="1:35" s="25" customFormat="1" ht="28.8">
      <c r="B15" s="268">
        <v>5</v>
      </c>
      <c r="C15" s="390" t="s">
        <v>235</v>
      </c>
      <c r="D15" s="818"/>
      <c r="E15" s="819"/>
      <c r="F15" s="705"/>
      <c r="G15" s="706"/>
      <c r="H15" s="707"/>
      <c r="I15" s="309"/>
      <c r="J15" s="310"/>
      <c r="K15" s="311"/>
      <c r="L15" s="298" t="str">
        <f t="shared" si="0"/>
        <v/>
      </c>
      <c r="M15" s="305" t="str">
        <f t="shared" si="1"/>
        <v/>
      </c>
      <c r="N15" s="294" t="str">
        <f t="shared" si="2"/>
        <v/>
      </c>
      <c r="O15" s="68"/>
      <c r="P15" s="3"/>
      <c r="R15" s="733"/>
      <c r="T15" s="779" t="str">
        <f>IF(D15="","",VLOOKUP(D15,'9. All Habitats + Multipliers'!$C$4:$K$102,5,FALSE))</f>
        <v/>
      </c>
      <c r="U15" s="780"/>
      <c r="V15" s="348" t="str">
        <f>IF(T15="","",VLOOKUP(T15,'11. Lists'!$S$47:$U$50,2,FALSE))</f>
        <v/>
      </c>
      <c r="W15" s="93" t="str">
        <f>IF(D15="","",VLOOKUP(D15,'10. Condition and Temporal'!$B$6:$C$103,2,FALSE))</f>
        <v/>
      </c>
      <c r="X15" s="94" t="str">
        <f>IF(W15="","",VLOOKUP(W15,'11. Lists'!$F$47:$G$51,2,FALSE))</f>
        <v/>
      </c>
      <c r="Y15" s="48"/>
      <c r="Z15" s="48"/>
      <c r="AA15" s="48"/>
      <c r="AB15" s="188" t="str">
        <f t="shared" si="6"/>
        <v/>
      </c>
      <c r="AC15" s="95" t="str">
        <f>IF(AB15="","",VLOOKUP(AB15,'11. Lists'!$F$36:$H$38,2,FALSE))</f>
        <v/>
      </c>
      <c r="AD15" s="94" t="str">
        <f>IF(AB15="","",VLOOKUP(AB15,'11. Lists'!$F$36:$H$38,3,FALSE))</f>
        <v/>
      </c>
      <c r="AE15" s="302" t="str">
        <f t="shared" si="3"/>
        <v/>
      </c>
      <c r="AF15" s="303" t="str">
        <f t="shared" si="4"/>
        <v/>
      </c>
      <c r="AG15" s="96" t="str">
        <f t="shared" si="5"/>
        <v/>
      </c>
      <c r="AH15" s="93" t="str">
        <f>IF(T15="","",VLOOKUP(T15,'11. Lists'!$B$47:$D$49,3,FALSE))</f>
        <v/>
      </c>
      <c r="AI15" s="94" t="str">
        <f>IF(D15="","",VLOOKUP(D15,'10. Condition and Temporal'!$B$6:$L$103,4,FALSE))</f>
        <v/>
      </c>
    </row>
    <row r="16" spans="1:35" s="25" customFormat="1" ht="28.8">
      <c r="B16" s="268">
        <v>6</v>
      </c>
      <c r="C16" s="390" t="s">
        <v>235</v>
      </c>
      <c r="D16" s="818"/>
      <c r="E16" s="819"/>
      <c r="F16" s="705"/>
      <c r="G16" s="706"/>
      <c r="H16" s="707"/>
      <c r="I16" s="309"/>
      <c r="J16" s="310"/>
      <c r="K16" s="311"/>
      <c r="L16" s="298" t="str">
        <f t="shared" si="0"/>
        <v/>
      </c>
      <c r="M16" s="305" t="str">
        <f t="shared" si="1"/>
        <v/>
      </c>
      <c r="N16" s="294" t="str">
        <f t="shared" si="2"/>
        <v/>
      </c>
      <c r="O16" s="68"/>
      <c r="P16" s="3"/>
      <c r="R16" s="733"/>
      <c r="T16" s="779" t="str">
        <f>IF(D16="","",VLOOKUP(D16,'9. All Habitats + Multipliers'!$C$4:$K$102,5,FALSE))</f>
        <v/>
      </c>
      <c r="U16" s="780"/>
      <c r="V16" s="348" t="str">
        <f>IF(T16="","",VLOOKUP(T16,'11. Lists'!$S$47:$U$50,2,FALSE))</f>
        <v/>
      </c>
      <c r="W16" s="93" t="str">
        <f>IF(D16="","",VLOOKUP(D16,'10. Condition and Temporal'!$B$6:$C$103,2,FALSE))</f>
        <v/>
      </c>
      <c r="X16" s="94" t="str">
        <f>IF(W16="","",VLOOKUP(W16,'11. Lists'!$F$47:$G$51,2,FALSE))</f>
        <v/>
      </c>
      <c r="Y16" s="48"/>
      <c r="Z16" s="48"/>
      <c r="AA16" s="48"/>
      <c r="AB16" s="188" t="str">
        <f t="shared" si="6"/>
        <v/>
      </c>
      <c r="AC16" s="95" t="str">
        <f>IF(AB16="","",VLOOKUP(AB16,'11. Lists'!$F$36:$H$38,2,FALSE))</f>
        <v/>
      </c>
      <c r="AD16" s="94" t="str">
        <f>IF(AB16="","",VLOOKUP(AB16,'11. Lists'!$F$36:$H$38,3,FALSE))</f>
        <v/>
      </c>
      <c r="AE16" s="302" t="str">
        <f t="shared" si="3"/>
        <v/>
      </c>
      <c r="AF16" s="303" t="str">
        <f t="shared" si="4"/>
        <v/>
      </c>
      <c r="AG16" s="96" t="str">
        <f t="shared" si="5"/>
        <v/>
      </c>
      <c r="AH16" s="93" t="str">
        <f>IF(T16="","",VLOOKUP(T16,'11. Lists'!$B$47:$D$49,3,FALSE))</f>
        <v/>
      </c>
      <c r="AI16" s="94" t="str">
        <f>IF(D16="","",VLOOKUP(D16,'10. Condition and Temporal'!$B$6:$L$103,4,FALSE))</f>
        <v/>
      </c>
    </row>
    <row r="17" spans="2:35" s="25" customFormat="1" ht="28.8">
      <c r="B17" s="268">
        <v>7</v>
      </c>
      <c r="C17" s="390" t="s">
        <v>235</v>
      </c>
      <c r="D17" s="818"/>
      <c r="E17" s="819"/>
      <c r="F17" s="705"/>
      <c r="G17" s="706"/>
      <c r="H17" s="707"/>
      <c r="I17" s="309"/>
      <c r="J17" s="310"/>
      <c r="K17" s="311"/>
      <c r="L17" s="298" t="str">
        <f t="shared" si="0"/>
        <v/>
      </c>
      <c r="M17" s="305" t="str">
        <f t="shared" si="1"/>
        <v/>
      </c>
      <c r="N17" s="294" t="str">
        <f t="shared" si="2"/>
        <v/>
      </c>
      <c r="O17" s="68"/>
      <c r="P17" s="3"/>
      <c r="R17" s="733"/>
      <c r="T17" s="779" t="str">
        <f>IF(D17="","",VLOOKUP(D17,'9. All Habitats + Multipliers'!$C$4:$K$102,5,FALSE))</f>
        <v/>
      </c>
      <c r="U17" s="780"/>
      <c r="V17" s="348" t="str">
        <f>IF(T17="","",VLOOKUP(T17,'11. Lists'!$S$47:$U$50,2,FALSE))</f>
        <v/>
      </c>
      <c r="W17" s="93" t="str">
        <f>IF(D17="","",VLOOKUP(D17,'10. Condition and Temporal'!$B$6:$C$103,2,FALSE))</f>
        <v/>
      </c>
      <c r="X17" s="94" t="str">
        <f>IF(W17="","",VLOOKUP(W17,'11. Lists'!$F$47:$G$51,2,FALSE))</f>
        <v/>
      </c>
      <c r="Y17" s="48"/>
      <c r="Z17" s="48"/>
      <c r="AA17" s="48"/>
      <c r="AB17" s="188" t="str">
        <f t="shared" si="6"/>
        <v/>
      </c>
      <c r="AC17" s="95" t="str">
        <f>IF(AB17="","",VLOOKUP(AB17,'11. Lists'!$F$36:$H$38,2,FALSE))</f>
        <v/>
      </c>
      <c r="AD17" s="94" t="str">
        <f>IF(AB17="","",VLOOKUP(AB17,'11. Lists'!$F$36:$H$38,3,FALSE))</f>
        <v/>
      </c>
      <c r="AE17" s="302" t="str">
        <f t="shared" si="3"/>
        <v/>
      </c>
      <c r="AF17" s="303" t="str">
        <f t="shared" si="4"/>
        <v/>
      </c>
      <c r="AG17" s="96" t="str">
        <f t="shared" si="5"/>
        <v/>
      </c>
      <c r="AH17" s="93" t="str">
        <f>IF(T17="","",VLOOKUP(T17,'11. Lists'!$B$47:$D$49,3,FALSE))</f>
        <v/>
      </c>
      <c r="AI17" s="94" t="str">
        <f>IF(D17="","",VLOOKUP(D17,'10. Condition and Temporal'!$B$6:$L$103,4,FALSE))</f>
        <v/>
      </c>
    </row>
    <row r="18" spans="2:35" s="25" customFormat="1" ht="28.8">
      <c r="B18" s="268">
        <v>8</v>
      </c>
      <c r="C18" s="390" t="s">
        <v>235</v>
      </c>
      <c r="D18" s="818"/>
      <c r="E18" s="819"/>
      <c r="F18" s="705"/>
      <c r="G18" s="706"/>
      <c r="H18" s="707"/>
      <c r="I18" s="309"/>
      <c r="J18" s="310"/>
      <c r="K18" s="311"/>
      <c r="L18" s="298" t="str">
        <f t="shared" si="0"/>
        <v/>
      </c>
      <c r="M18" s="305" t="str">
        <f t="shared" si="1"/>
        <v/>
      </c>
      <c r="N18" s="294" t="str">
        <f t="shared" si="2"/>
        <v/>
      </c>
      <c r="O18" s="68"/>
      <c r="P18" s="3"/>
      <c r="R18" s="733"/>
      <c r="T18" s="779" t="str">
        <f>IF(D18="","",VLOOKUP(D18,'9. All Habitats + Multipliers'!$C$4:$K$102,5,FALSE))</f>
        <v/>
      </c>
      <c r="U18" s="780"/>
      <c r="V18" s="348" t="str">
        <f>IF(T18="","",VLOOKUP(T18,'11. Lists'!$S$47:$U$50,2,FALSE))</f>
        <v/>
      </c>
      <c r="W18" s="93" t="str">
        <f>IF(D18="","",VLOOKUP(D18,'10. Condition and Temporal'!$B$6:$C$103,2,FALSE))</f>
        <v/>
      </c>
      <c r="X18" s="94" t="str">
        <f>IF(W18="","",VLOOKUP(W18,'11. Lists'!$F$47:$G$51,2,FALSE))</f>
        <v/>
      </c>
      <c r="Y18" s="48"/>
      <c r="Z18" s="48"/>
      <c r="AA18" s="48"/>
      <c r="AB18" s="188" t="str">
        <f t="shared" si="6"/>
        <v/>
      </c>
      <c r="AC18" s="95" t="str">
        <f>IF(AB18="","",VLOOKUP(AB18,'11. Lists'!$F$36:$H$38,2,FALSE))</f>
        <v/>
      </c>
      <c r="AD18" s="94" t="str">
        <f>IF(AB18="","",VLOOKUP(AB18,'11. Lists'!$F$36:$H$38,3,FALSE))</f>
        <v/>
      </c>
      <c r="AE18" s="302" t="str">
        <f t="shared" si="3"/>
        <v/>
      </c>
      <c r="AF18" s="303" t="str">
        <f t="shared" si="4"/>
        <v/>
      </c>
      <c r="AG18" s="96" t="str">
        <f t="shared" si="5"/>
        <v/>
      </c>
      <c r="AH18" s="93" t="str">
        <f>IF(T18="","",VLOOKUP(T18,'11. Lists'!$B$47:$D$49,3,FALSE))</f>
        <v/>
      </c>
      <c r="AI18" s="94" t="str">
        <f>IF(D18="","",VLOOKUP(D18,'10. Condition and Temporal'!$B$6:$L$103,4,FALSE))</f>
        <v/>
      </c>
    </row>
    <row r="19" spans="2:35" s="25" customFormat="1" ht="28.8">
      <c r="B19" s="268">
        <v>9</v>
      </c>
      <c r="C19" s="390" t="s">
        <v>235</v>
      </c>
      <c r="D19" s="818"/>
      <c r="E19" s="819"/>
      <c r="F19" s="705"/>
      <c r="G19" s="706"/>
      <c r="H19" s="707"/>
      <c r="I19" s="309"/>
      <c r="J19" s="310"/>
      <c r="K19" s="311"/>
      <c r="L19" s="298" t="str">
        <f t="shared" si="0"/>
        <v/>
      </c>
      <c r="M19" s="305" t="str">
        <f t="shared" si="1"/>
        <v/>
      </c>
      <c r="N19" s="294" t="str">
        <f t="shared" si="2"/>
        <v/>
      </c>
      <c r="O19" s="68"/>
      <c r="P19" s="3"/>
      <c r="R19" s="733"/>
      <c r="T19" s="779" t="str">
        <f>IF(D19="","",VLOOKUP(D19,'9. All Habitats + Multipliers'!$C$4:$K$102,5,FALSE))</f>
        <v/>
      </c>
      <c r="U19" s="780"/>
      <c r="V19" s="348" t="str">
        <f>IF(T19="","",VLOOKUP(T19,'11. Lists'!$S$47:$U$50,2,FALSE))</f>
        <v/>
      </c>
      <c r="W19" s="93" t="str">
        <f>IF(D19="","",VLOOKUP(D19,'10. Condition and Temporal'!$B$6:$C$103,2,FALSE))</f>
        <v/>
      </c>
      <c r="X19" s="94" t="str">
        <f>IF(W19="","",VLOOKUP(W19,'11. Lists'!$F$47:$G$51,2,FALSE))</f>
        <v/>
      </c>
      <c r="Y19" s="48"/>
      <c r="Z19" s="48"/>
      <c r="AA19" s="48"/>
      <c r="AB19" s="188" t="str">
        <f t="shared" si="6"/>
        <v/>
      </c>
      <c r="AC19" s="95" t="str">
        <f>IF(AB19="","",VLOOKUP(AB19,'11. Lists'!$F$36:$H$38,2,FALSE))</f>
        <v/>
      </c>
      <c r="AD19" s="94" t="str">
        <f>IF(AB19="","",VLOOKUP(AB19,'11. Lists'!$F$36:$H$38,3,FALSE))</f>
        <v/>
      </c>
      <c r="AE19" s="302" t="str">
        <f t="shared" si="3"/>
        <v/>
      </c>
      <c r="AF19" s="303" t="str">
        <f t="shared" si="4"/>
        <v/>
      </c>
      <c r="AG19" s="96" t="str">
        <f t="shared" si="5"/>
        <v/>
      </c>
      <c r="AH19" s="93" t="str">
        <f>IF(T19="","",VLOOKUP(T19,'11. Lists'!$B$47:$D$49,3,FALSE))</f>
        <v/>
      </c>
      <c r="AI19" s="94" t="str">
        <f>IF(D19="","",VLOOKUP(D19,'10. Condition and Temporal'!$B$6:$L$103,4,FALSE))</f>
        <v/>
      </c>
    </row>
    <row r="20" spans="2:35" s="25" customFormat="1" ht="28.8">
      <c r="B20" s="268">
        <v>10</v>
      </c>
      <c r="C20" s="391" t="s">
        <v>235</v>
      </c>
      <c r="D20" s="818"/>
      <c r="E20" s="819"/>
      <c r="F20" s="705"/>
      <c r="G20" s="706"/>
      <c r="H20" s="707"/>
      <c r="I20" s="309"/>
      <c r="J20" s="310"/>
      <c r="K20" s="311"/>
      <c r="L20" s="298" t="str">
        <f t="shared" si="0"/>
        <v/>
      </c>
      <c r="M20" s="305" t="str">
        <f t="shared" si="1"/>
        <v/>
      </c>
      <c r="N20" s="294" t="str">
        <f t="shared" si="2"/>
        <v/>
      </c>
      <c r="O20" s="69"/>
      <c r="P20" s="8"/>
      <c r="R20" s="733"/>
      <c r="T20" s="779" t="str">
        <f>IF(D20="","",VLOOKUP(D20,'9. All Habitats + Multipliers'!$C$4:$K$102,5,FALSE))</f>
        <v/>
      </c>
      <c r="U20" s="780"/>
      <c r="V20" s="348" t="str">
        <f>IF(T20="","",VLOOKUP(T20,'11. Lists'!$S$47:$U$50,2,FALSE))</f>
        <v/>
      </c>
      <c r="W20" s="93" t="str">
        <f>IF(D20="","",VLOOKUP(D20,'10. Condition and Temporal'!$B$6:$C$103,2,FALSE))</f>
        <v/>
      </c>
      <c r="X20" s="94" t="str">
        <f>IF(W20="","",VLOOKUP(W20,'11. Lists'!$F$47:$G$51,2,FALSE))</f>
        <v/>
      </c>
      <c r="Y20" s="48"/>
      <c r="Z20" s="48"/>
      <c r="AA20" s="48"/>
      <c r="AB20" s="188" t="str">
        <f t="shared" si="6"/>
        <v/>
      </c>
      <c r="AC20" s="95" t="str">
        <f>IF(AB20="","",VLOOKUP(AB20,'11. Lists'!$F$36:$H$38,2,FALSE))</f>
        <v/>
      </c>
      <c r="AD20" s="94" t="str">
        <f>IF(AB20="","",VLOOKUP(AB20,'11. Lists'!$F$36:$H$38,3,FALSE))</f>
        <v/>
      </c>
      <c r="AE20" s="302" t="str">
        <f t="shared" si="3"/>
        <v/>
      </c>
      <c r="AF20" s="303" t="str">
        <f t="shared" si="4"/>
        <v/>
      </c>
      <c r="AG20" s="96" t="str">
        <f t="shared" si="5"/>
        <v/>
      </c>
      <c r="AH20" s="93" t="str">
        <f>IF(T20="","",VLOOKUP(T20,'11. Lists'!$B$47:$D$49,3,FALSE))</f>
        <v/>
      </c>
      <c r="AI20" s="94" t="str">
        <f>IF(D20="","",VLOOKUP(D20,'10. Condition and Temporal'!$B$6:$L$103,4,FALSE))</f>
        <v/>
      </c>
    </row>
    <row r="21" spans="2:35" s="25" customFormat="1" ht="28.8">
      <c r="B21" s="268">
        <v>11</v>
      </c>
      <c r="C21" s="390" t="s">
        <v>235</v>
      </c>
      <c r="D21" s="818"/>
      <c r="E21" s="819"/>
      <c r="F21" s="705"/>
      <c r="G21" s="706"/>
      <c r="H21" s="707"/>
      <c r="I21" s="309"/>
      <c r="J21" s="310"/>
      <c r="K21" s="311"/>
      <c r="L21" s="298" t="str">
        <f t="shared" si="0"/>
        <v/>
      </c>
      <c r="M21" s="305" t="str">
        <f t="shared" si="1"/>
        <v/>
      </c>
      <c r="N21" s="294" t="str">
        <f t="shared" si="2"/>
        <v/>
      </c>
      <c r="O21" s="69"/>
      <c r="P21" s="8"/>
      <c r="R21" s="733"/>
      <c r="T21" s="779" t="str">
        <f>IF(D21="","",VLOOKUP(D21,'9. All Habitats + Multipliers'!$C$4:$K$102,5,FALSE))</f>
        <v/>
      </c>
      <c r="U21" s="780"/>
      <c r="V21" s="348" t="str">
        <f>IF(T21="","",VLOOKUP(T21,'11. Lists'!$S$47:$U$50,2,FALSE))</f>
        <v/>
      </c>
      <c r="W21" s="93" t="str">
        <f>IF(D21="","",VLOOKUP(D21,'10. Condition and Temporal'!$B$6:$C$103,2,FALSE))</f>
        <v/>
      </c>
      <c r="X21" s="94" t="str">
        <f>IF(W21="","",VLOOKUP(W21,'11. Lists'!$F$47:$G$51,2,FALSE))</f>
        <v/>
      </c>
      <c r="Y21" s="48"/>
      <c r="Z21" s="48"/>
      <c r="AA21" s="48"/>
      <c r="AB21" s="188" t="str">
        <f t="shared" si="6"/>
        <v/>
      </c>
      <c r="AC21" s="95" t="str">
        <f>IF(AB21="","",VLOOKUP(AB21,'11. Lists'!$F$36:$H$38,2,FALSE))</f>
        <v/>
      </c>
      <c r="AD21" s="94" t="str">
        <f>IF(AB21="","",VLOOKUP(AB21,'11. Lists'!$F$36:$H$38,3,FALSE))</f>
        <v/>
      </c>
      <c r="AE21" s="302" t="str">
        <f t="shared" si="3"/>
        <v/>
      </c>
      <c r="AF21" s="303" t="str">
        <f t="shared" si="4"/>
        <v/>
      </c>
      <c r="AG21" s="96" t="str">
        <f t="shared" si="5"/>
        <v/>
      </c>
      <c r="AH21" s="93" t="str">
        <f>IF(T21="","",VLOOKUP(T21,'11. Lists'!$B$47:$D$49,3,FALSE))</f>
        <v/>
      </c>
      <c r="AI21" s="94" t="str">
        <f>IF(D21="","",VLOOKUP(D21,'10. Condition and Temporal'!$B$6:$L$103,4,FALSE))</f>
        <v/>
      </c>
    </row>
    <row r="22" spans="2:35" s="25" customFormat="1" ht="28.8">
      <c r="B22" s="268">
        <v>12</v>
      </c>
      <c r="C22" s="390" t="s">
        <v>235</v>
      </c>
      <c r="D22" s="818"/>
      <c r="E22" s="819"/>
      <c r="F22" s="705"/>
      <c r="G22" s="706"/>
      <c r="H22" s="707"/>
      <c r="I22" s="309"/>
      <c r="J22" s="310"/>
      <c r="K22" s="311"/>
      <c r="L22" s="298" t="str">
        <f t="shared" si="0"/>
        <v/>
      </c>
      <c r="M22" s="305" t="str">
        <f t="shared" si="1"/>
        <v/>
      </c>
      <c r="N22" s="294" t="str">
        <f t="shared" si="2"/>
        <v/>
      </c>
      <c r="O22" s="69"/>
      <c r="P22" s="8"/>
      <c r="R22" s="733"/>
      <c r="T22" s="779" t="str">
        <f>IF(D22="","",VLOOKUP(D22,'9. All Habitats + Multipliers'!$C$4:$K$102,5,FALSE))</f>
        <v/>
      </c>
      <c r="U22" s="780"/>
      <c r="V22" s="348" t="str">
        <f>IF(T22="","",VLOOKUP(T22,'11. Lists'!$S$47:$U$50,2,FALSE))</f>
        <v/>
      </c>
      <c r="W22" s="93" t="str">
        <f>IF(D22="","",VLOOKUP(D22,'10. Condition and Temporal'!$B$6:$C$103,2,FALSE))</f>
        <v/>
      </c>
      <c r="X22" s="94" t="str">
        <f>IF(W22="","",VLOOKUP(W22,'11. Lists'!$F$47:$G$51,2,FALSE))</f>
        <v/>
      </c>
      <c r="Y22" s="48"/>
      <c r="Z22" s="48"/>
      <c r="AA22" s="48"/>
      <c r="AB22" s="188" t="str">
        <f t="shared" si="6"/>
        <v/>
      </c>
      <c r="AC22" s="95" t="str">
        <f>IF(AB22="","",VLOOKUP(AB22,'11. Lists'!$F$36:$H$38,2,FALSE))</f>
        <v/>
      </c>
      <c r="AD22" s="94" t="str">
        <f>IF(AB22="","",VLOOKUP(AB22,'11. Lists'!$F$36:$H$38,3,FALSE))</f>
        <v/>
      </c>
      <c r="AE22" s="302" t="str">
        <f t="shared" si="3"/>
        <v/>
      </c>
      <c r="AF22" s="303" t="str">
        <f t="shared" si="4"/>
        <v/>
      </c>
      <c r="AG22" s="96" t="str">
        <f t="shared" si="5"/>
        <v/>
      </c>
      <c r="AH22" s="93" t="str">
        <f>IF(T22="","",VLOOKUP(T22,'11. Lists'!$B$47:$D$49,3,FALSE))</f>
        <v/>
      </c>
      <c r="AI22" s="94" t="str">
        <f>IF(D22="","",VLOOKUP(D22,'10. Condition and Temporal'!$B$6:$L$103,4,FALSE))</f>
        <v/>
      </c>
    </row>
    <row r="23" spans="2:35" s="25" customFormat="1" ht="28.8">
      <c r="B23" s="268">
        <v>13</v>
      </c>
      <c r="C23" s="390" t="s">
        <v>235</v>
      </c>
      <c r="D23" s="818"/>
      <c r="E23" s="819"/>
      <c r="F23" s="705"/>
      <c r="G23" s="706"/>
      <c r="H23" s="707"/>
      <c r="I23" s="309"/>
      <c r="J23" s="310"/>
      <c r="K23" s="311"/>
      <c r="L23" s="298" t="str">
        <f t="shared" si="0"/>
        <v/>
      </c>
      <c r="M23" s="305" t="str">
        <f t="shared" si="1"/>
        <v/>
      </c>
      <c r="N23" s="294" t="str">
        <f t="shared" si="2"/>
        <v/>
      </c>
      <c r="O23" s="69"/>
      <c r="P23" s="8"/>
      <c r="R23" s="733"/>
      <c r="T23" s="779" t="str">
        <f>IF(D23="","",VLOOKUP(D23,'9. All Habitats + Multipliers'!$C$4:$K$102,5,FALSE))</f>
        <v/>
      </c>
      <c r="U23" s="780"/>
      <c r="V23" s="348" t="str">
        <f>IF(T23="","",VLOOKUP(T23,'11. Lists'!$S$47:$U$50,2,FALSE))</f>
        <v/>
      </c>
      <c r="W23" s="93" t="str">
        <f>IF(D23="","",VLOOKUP(D23,'10. Condition and Temporal'!$B$6:$C$103,2,FALSE))</f>
        <v/>
      </c>
      <c r="X23" s="94" t="str">
        <f>IF(W23="","",VLOOKUP(W23,'11. Lists'!$F$47:$G$51,2,FALSE))</f>
        <v/>
      </c>
      <c r="Y23" s="48"/>
      <c r="Z23" s="48"/>
      <c r="AA23" s="48"/>
      <c r="AB23" s="188" t="str">
        <f t="shared" si="6"/>
        <v/>
      </c>
      <c r="AC23" s="95" t="str">
        <f>IF(AB23="","",VLOOKUP(AB23,'11. Lists'!$F$36:$H$38,2,FALSE))</f>
        <v/>
      </c>
      <c r="AD23" s="94" t="str">
        <f>IF(AB23="","",VLOOKUP(AB23,'11. Lists'!$F$36:$H$38,3,FALSE))</f>
        <v/>
      </c>
      <c r="AE23" s="302" t="str">
        <f t="shared" si="3"/>
        <v/>
      </c>
      <c r="AF23" s="303" t="str">
        <f t="shared" si="4"/>
        <v/>
      </c>
      <c r="AG23" s="96" t="str">
        <f t="shared" si="5"/>
        <v/>
      </c>
      <c r="AH23" s="93" t="str">
        <f>IF(T23="","",VLOOKUP(T23,'11. Lists'!$B$47:$D$49,3,FALSE))</f>
        <v/>
      </c>
      <c r="AI23" s="94" t="str">
        <f>IF(D23="","",VLOOKUP(D23,'10. Condition and Temporal'!$B$6:$L$103,4,FALSE))</f>
        <v/>
      </c>
    </row>
    <row r="24" spans="2:35" s="25" customFormat="1" ht="28.8">
      <c r="B24" s="268">
        <v>14</v>
      </c>
      <c r="C24" s="390" t="s">
        <v>235</v>
      </c>
      <c r="D24" s="818"/>
      <c r="E24" s="819"/>
      <c r="F24" s="705"/>
      <c r="G24" s="706"/>
      <c r="H24" s="707"/>
      <c r="I24" s="309"/>
      <c r="J24" s="310"/>
      <c r="K24" s="311"/>
      <c r="L24" s="298" t="str">
        <f t="shared" si="0"/>
        <v/>
      </c>
      <c r="M24" s="305" t="str">
        <f t="shared" si="1"/>
        <v/>
      </c>
      <c r="N24" s="294" t="str">
        <f t="shared" si="2"/>
        <v/>
      </c>
      <c r="O24" s="69"/>
      <c r="P24" s="8"/>
      <c r="R24" s="733"/>
      <c r="T24" s="779" t="str">
        <f>IF(D24="","",VLOOKUP(D24,'9. All Habitats + Multipliers'!$C$4:$K$102,5,FALSE))</f>
        <v/>
      </c>
      <c r="U24" s="780"/>
      <c r="V24" s="348" t="str">
        <f>IF(T24="","",VLOOKUP(T24,'11. Lists'!$S$47:$U$50,2,FALSE))</f>
        <v/>
      </c>
      <c r="W24" s="93" t="str">
        <f>IF(D24="","",VLOOKUP(D24,'10. Condition and Temporal'!$B$6:$C$103,2,FALSE))</f>
        <v/>
      </c>
      <c r="X24" s="94" t="str">
        <f>IF(W24="","",VLOOKUP(W24,'11. Lists'!$F$47:$G$51,2,FALSE))</f>
        <v/>
      </c>
      <c r="Y24" s="48"/>
      <c r="Z24" s="48"/>
      <c r="AA24" s="48"/>
      <c r="AB24" s="188" t="str">
        <f t="shared" si="6"/>
        <v/>
      </c>
      <c r="AC24" s="95" t="str">
        <f>IF(AB24="","",VLOOKUP(AB24,'11. Lists'!$F$36:$H$38,2,FALSE))</f>
        <v/>
      </c>
      <c r="AD24" s="94" t="str">
        <f>IF(AB24="","",VLOOKUP(AB24,'11. Lists'!$F$36:$H$38,3,FALSE))</f>
        <v/>
      </c>
      <c r="AE24" s="302" t="str">
        <f t="shared" si="3"/>
        <v/>
      </c>
      <c r="AF24" s="303" t="str">
        <f t="shared" si="4"/>
        <v/>
      </c>
      <c r="AG24" s="96" t="str">
        <f t="shared" si="5"/>
        <v/>
      </c>
      <c r="AH24" s="93" t="str">
        <f>IF(T24="","",VLOOKUP(T24,'11. Lists'!$B$47:$D$49,3,FALSE))</f>
        <v/>
      </c>
      <c r="AI24" s="94" t="str">
        <f>IF(D24="","",VLOOKUP(D24,'10. Condition and Temporal'!$B$6:$L$103,4,FALSE))</f>
        <v/>
      </c>
    </row>
    <row r="25" spans="2:35" s="25" customFormat="1" ht="28.8">
      <c r="B25" s="268">
        <v>15</v>
      </c>
      <c r="C25" s="390" t="s">
        <v>235</v>
      </c>
      <c r="D25" s="818"/>
      <c r="E25" s="819"/>
      <c r="F25" s="705"/>
      <c r="G25" s="706"/>
      <c r="H25" s="707"/>
      <c r="I25" s="309"/>
      <c r="J25" s="310"/>
      <c r="K25" s="311"/>
      <c r="L25" s="298" t="str">
        <f t="shared" si="0"/>
        <v/>
      </c>
      <c r="M25" s="305" t="str">
        <f t="shared" si="1"/>
        <v/>
      </c>
      <c r="N25" s="294" t="str">
        <f t="shared" si="2"/>
        <v/>
      </c>
      <c r="O25" s="69"/>
      <c r="P25" s="8"/>
      <c r="R25" s="733"/>
      <c r="T25" s="779" t="str">
        <f>IF(D25="","",VLOOKUP(D25,'9. All Habitats + Multipliers'!$C$4:$K$102,5,FALSE))</f>
        <v/>
      </c>
      <c r="U25" s="780"/>
      <c r="V25" s="348" t="str">
        <f>IF(T25="","",VLOOKUP(T25,'11. Lists'!$S$47:$U$50,2,FALSE))</f>
        <v/>
      </c>
      <c r="W25" s="93" t="str">
        <f>IF(D25="","",VLOOKUP(D25,'10. Condition and Temporal'!$B$6:$C$103,2,FALSE))</f>
        <v/>
      </c>
      <c r="X25" s="94" t="str">
        <f>IF(W25="","",VLOOKUP(W25,'11. Lists'!$F$47:$G$51,2,FALSE))</f>
        <v/>
      </c>
      <c r="Y25" s="48"/>
      <c r="Z25" s="48"/>
      <c r="AA25" s="48"/>
      <c r="AB25" s="188" t="str">
        <f t="shared" si="6"/>
        <v/>
      </c>
      <c r="AC25" s="95" t="str">
        <f>IF(AB25="","",VLOOKUP(AB25,'11. Lists'!$F$36:$H$38,2,FALSE))</f>
        <v/>
      </c>
      <c r="AD25" s="94" t="str">
        <f>IF(AB25="","",VLOOKUP(AB25,'11. Lists'!$F$36:$H$38,3,FALSE))</f>
        <v/>
      </c>
      <c r="AE25" s="302" t="str">
        <f t="shared" si="3"/>
        <v/>
      </c>
      <c r="AF25" s="303" t="str">
        <f t="shared" si="4"/>
        <v/>
      </c>
      <c r="AG25" s="96" t="str">
        <f t="shared" si="5"/>
        <v/>
      </c>
      <c r="AH25" s="93" t="str">
        <f>IF(T25="","",VLOOKUP(T25,'11. Lists'!$B$47:$D$49,3,FALSE))</f>
        <v/>
      </c>
      <c r="AI25" s="94" t="str">
        <f>IF(D25="","",VLOOKUP(D25,'10. Condition and Temporal'!$B$6:$L$103,4,FALSE))</f>
        <v/>
      </c>
    </row>
    <row r="26" spans="2:35" s="25" customFormat="1" ht="28.8">
      <c r="B26" s="268">
        <v>16</v>
      </c>
      <c r="C26" s="390" t="s">
        <v>235</v>
      </c>
      <c r="D26" s="818"/>
      <c r="E26" s="819"/>
      <c r="F26" s="705"/>
      <c r="G26" s="706"/>
      <c r="H26" s="707"/>
      <c r="I26" s="309"/>
      <c r="J26" s="310"/>
      <c r="K26" s="311"/>
      <c r="L26" s="298" t="str">
        <f t="shared" si="0"/>
        <v/>
      </c>
      <c r="M26" s="305" t="str">
        <f t="shared" si="1"/>
        <v/>
      </c>
      <c r="N26" s="294" t="str">
        <f t="shared" si="2"/>
        <v/>
      </c>
      <c r="O26" s="69"/>
      <c r="P26" s="8"/>
      <c r="R26" s="733"/>
      <c r="T26" s="779" t="str">
        <f>IF(D26="","",VLOOKUP(D26,'9. All Habitats + Multipliers'!$C$4:$K$102,5,FALSE))</f>
        <v/>
      </c>
      <c r="U26" s="780"/>
      <c r="V26" s="348" t="str">
        <f>IF(T26="","",VLOOKUP(T26,'11. Lists'!$S$47:$U$50,2,FALSE))</f>
        <v/>
      </c>
      <c r="W26" s="93" t="str">
        <f>IF(D26="","",VLOOKUP(D26,'10. Condition and Temporal'!$B$6:$C$103,2,FALSE))</f>
        <v/>
      </c>
      <c r="X26" s="94" t="str">
        <f>IF(W26="","",VLOOKUP(W26,'11. Lists'!$F$47:$G$51,2,FALSE))</f>
        <v/>
      </c>
      <c r="Y26" s="48"/>
      <c r="Z26" s="48"/>
      <c r="AA26" s="48"/>
      <c r="AB26" s="188" t="str">
        <f t="shared" si="6"/>
        <v/>
      </c>
      <c r="AC26" s="95" t="str">
        <f>IF(AB26="","",VLOOKUP(AB26,'11. Lists'!$F$36:$H$38,2,FALSE))</f>
        <v/>
      </c>
      <c r="AD26" s="94" t="str">
        <f>IF(AB26="","",VLOOKUP(AB26,'11. Lists'!$F$36:$H$38,3,FALSE))</f>
        <v/>
      </c>
      <c r="AE26" s="302" t="str">
        <f t="shared" si="3"/>
        <v/>
      </c>
      <c r="AF26" s="303" t="str">
        <f t="shared" si="4"/>
        <v/>
      </c>
      <c r="AG26" s="96" t="str">
        <f t="shared" si="5"/>
        <v/>
      </c>
      <c r="AH26" s="93" t="str">
        <f>IF(T26="","",VLOOKUP(T26,'11. Lists'!$B$47:$D$49,3,FALSE))</f>
        <v/>
      </c>
      <c r="AI26" s="94" t="str">
        <f>IF(D26="","",VLOOKUP(D26,'10. Condition and Temporal'!$B$6:$L$103,4,FALSE))</f>
        <v/>
      </c>
    </row>
    <row r="27" spans="2:35" s="25" customFormat="1" ht="28.8">
      <c r="B27" s="268">
        <v>17</v>
      </c>
      <c r="C27" s="390" t="s">
        <v>235</v>
      </c>
      <c r="D27" s="818"/>
      <c r="E27" s="819"/>
      <c r="F27" s="705"/>
      <c r="G27" s="706"/>
      <c r="H27" s="707"/>
      <c r="I27" s="309"/>
      <c r="J27" s="310"/>
      <c r="K27" s="311"/>
      <c r="L27" s="298" t="str">
        <f t="shared" si="0"/>
        <v/>
      </c>
      <c r="M27" s="305" t="str">
        <f t="shared" si="1"/>
        <v/>
      </c>
      <c r="N27" s="294" t="str">
        <f t="shared" si="2"/>
        <v/>
      </c>
      <c r="O27" s="69"/>
      <c r="P27" s="8"/>
      <c r="R27" s="733"/>
      <c r="T27" s="779" t="str">
        <f>IF(D27="","",VLOOKUP(D27,'9. All Habitats + Multipliers'!$C$4:$K$102,5,FALSE))</f>
        <v/>
      </c>
      <c r="U27" s="780"/>
      <c r="V27" s="348" t="str">
        <f>IF(T27="","",VLOOKUP(T27,'11. Lists'!$S$47:$U$50,2,FALSE))</f>
        <v/>
      </c>
      <c r="W27" s="93" t="str">
        <f>IF(D27="","",VLOOKUP(D27,'10. Condition and Temporal'!$B$6:$C$103,2,FALSE))</f>
        <v/>
      </c>
      <c r="X27" s="94" t="str">
        <f>IF(W27="","",VLOOKUP(W27,'11. Lists'!$F$47:$G$51,2,FALSE))</f>
        <v/>
      </c>
      <c r="Y27" s="48"/>
      <c r="Z27" s="48"/>
      <c r="AA27" s="48"/>
      <c r="AB27" s="188" t="str">
        <f t="shared" si="6"/>
        <v/>
      </c>
      <c r="AC27" s="95" t="str">
        <f>IF(AB27="","",VLOOKUP(AB27,'11. Lists'!$F$36:$H$38,2,FALSE))</f>
        <v/>
      </c>
      <c r="AD27" s="94" t="str">
        <f>IF(AB27="","",VLOOKUP(AB27,'11. Lists'!$F$36:$H$38,3,FALSE))</f>
        <v/>
      </c>
      <c r="AE27" s="302" t="str">
        <f t="shared" si="3"/>
        <v/>
      </c>
      <c r="AF27" s="303" t="str">
        <f t="shared" si="4"/>
        <v/>
      </c>
      <c r="AG27" s="96" t="str">
        <f t="shared" si="5"/>
        <v/>
      </c>
      <c r="AH27" s="93" t="str">
        <f>IF(T27="","",VLOOKUP(T27,'11. Lists'!$B$47:$D$49,3,FALSE))</f>
        <v/>
      </c>
      <c r="AI27" s="94" t="str">
        <f>IF(D27="","",VLOOKUP(D27,'10. Condition and Temporal'!$B$6:$L$103,4,FALSE))</f>
        <v/>
      </c>
    </row>
    <row r="28" spans="2:35" s="25" customFormat="1" ht="28.8">
      <c r="B28" s="268">
        <v>18</v>
      </c>
      <c r="C28" s="390" t="s">
        <v>235</v>
      </c>
      <c r="D28" s="818"/>
      <c r="E28" s="819"/>
      <c r="F28" s="705"/>
      <c r="G28" s="706"/>
      <c r="H28" s="707"/>
      <c r="I28" s="309"/>
      <c r="J28" s="310"/>
      <c r="K28" s="311"/>
      <c r="L28" s="298" t="str">
        <f t="shared" si="0"/>
        <v/>
      </c>
      <c r="M28" s="305" t="str">
        <f t="shared" si="1"/>
        <v/>
      </c>
      <c r="N28" s="294" t="str">
        <f t="shared" si="2"/>
        <v/>
      </c>
      <c r="O28" s="69"/>
      <c r="P28" s="8"/>
      <c r="R28" s="733"/>
      <c r="T28" s="779" t="str">
        <f>IF(D28="","",VLOOKUP(D28,'9. All Habitats + Multipliers'!$C$4:$K$102,5,FALSE))</f>
        <v/>
      </c>
      <c r="U28" s="780"/>
      <c r="V28" s="348" t="str">
        <f>IF(T28="","",VLOOKUP(T28,'11. Lists'!$S$47:$U$50,2,FALSE))</f>
        <v/>
      </c>
      <c r="W28" s="93" t="str">
        <f>IF(D28="","",VLOOKUP(D28,'10. Condition and Temporal'!$B$6:$C$103,2,FALSE))</f>
        <v/>
      </c>
      <c r="X28" s="94" t="str">
        <f>IF(W28="","",VLOOKUP(W28,'11. Lists'!$F$47:$G$51,2,FALSE))</f>
        <v/>
      </c>
      <c r="Y28" s="48"/>
      <c r="Z28" s="48"/>
      <c r="AA28" s="48"/>
      <c r="AB28" s="188" t="str">
        <f t="shared" si="6"/>
        <v/>
      </c>
      <c r="AC28" s="95" t="str">
        <f>IF(AB28="","",VLOOKUP(AB28,'11. Lists'!$F$36:$H$38,2,FALSE))</f>
        <v/>
      </c>
      <c r="AD28" s="94" t="str">
        <f>IF(AB28="","",VLOOKUP(AB28,'11. Lists'!$F$36:$H$38,3,FALSE))</f>
        <v/>
      </c>
      <c r="AE28" s="302" t="str">
        <f t="shared" si="3"/>
        <v/>
      </c>
      <c r="AF28" s="303" t="str">
        <f t="shared" si="4"/>
        <v/>
      </c>
      <c r="AG28" s="96" t="str">
        <f t="shared" si="5"/>
        <v/>
      </c>
      <c r="AH28" s="93" t="str">
        <f>IF(T28="","",VLOOKUP(T28,'11. Lists'!$B$47:$D$49,3,FALSE))</f>
        <v/>
      </c>
      <c r="AI28" s="94" t="str">
        <f>IF(D28="","",VLOOKUP(D28,'10. Condition and Temporal'!$B$6:$L$103,4,FALSE))</f>
        <v/>
      </c>
    </row>
    <row r="29" spans="2:35" s="25" customFormat="1" ht="28.8">
      <c r="B29" s="268">
        <v>19</v>
      </c>
      <c r="C29" s="392" t="s">
        <v>235</v>
      </c>
      <c r="D29" s="818"/>
      <c r="E29" s="819"/>
      <c r="F29" s="705"/>
      <c r="G29" s="706"/>
      <c r="H29" s="707"/>
      <c r="I29" s="309"/>
      <c r="J29" s="310"/>
      <c r="K29" s="311"/>
      <c r="L29" s="298" t="str">
        <f t="shared" si="0"/>
        <v/>
      </c>
      <c r="M29" s="305" t="str">
        <f t="shared" si="1"/>
        <v/>
      </c>
      <c r="N29" s="294" t="str">
        <f t="shared" si="2"/>
        <v/>
      </c>
      <c r="O29" s="69"/>
      <c r="P29" s="8"/>
      <c r="R29" s="733"/>
      <c r="T29" s="779" t="str">
        <f>IF(D29="","",VLOOKUP(D29,'9. All Habitats + Multipliers'!$C$4:$K$102,5,FALSE))</f>
        <v/>
      </c>
      <c r="U29" s="780"/>
      <c r="V29" s="348" t="str">
        <f>IF(T29="","",VLOOKUP(T29,'11. Lists'!$S$47:$U$50,2,FALSE))</f>
        <v/>
      </c>
      <c r="W29" s="93" t="str">
        <f>IF(D29="","",VLOOKUP(D29,'10. Condition and Temporal'!$B$6:$C$103,2,FALSE))</f>
        <v/>
      </c>
      <c r="X29" s="94" t="str">
        <f>IF(W29="","",VLOOKUP(W29,'11. Lists'!$F$47:$G$51,2,FALSE))</f>
        <v/>
      </c>
      <c r="Y29" s="48"/>
      <c r="Z29" s="48"/>
      <c r="AA29" s="48"/>
      <c r="AB29" s="188" t="str">
        <f t="shared" si="6"/>
        <v/>
      </c>
      <c r="AC29" s="95" t="str">
        <f>IF(AB29="","",VLOOKUP(AB29,'11. Lists'!$F$36:$H$38,2,FALSE))</f>
        <v/>
      </c>
      <c r="AD29" s="94" t="str">
        <f>IF(AB29="","",VLOOKUP(AB29,'11. Lists'!$F$36:$H$38,3,FALSE))</f>
        <v/>
      </c>
      <c r="AE29" s="302" t="str">
        <f t="shared" si="3"/>
        <v/>
      </c>
      <c r="AF29" s="303" t="str">
        <f t="shared" si="4"/>
        <v/>
      </c>
      <c r="AG29" s="96" t="str">
        <f t="shared" si="5"/>
        <v/>
      </c>
      <c r="AH29" s="93" t="str">
        <f>IF(T29="","",VLOOKUP(T29,'11. Lists'!$B$47:$D$49,3,FALSE))</f>
        <v/>
      </c>
      <c r="AI29" s="94" t="str">
        <f>IF(D29="","",VLOOKUP(D29,'10. Condition and Temporal'!$B$6:$L$103,4,FALSE))</f>
        <v/>
      </c>
    </row>
    <row r="30" spans="2:35" s="25" customFormat="1" ht="29.4" thickBot="1">
      <c r="B30" s="269">
        <v>20</v>
      </c>
      <c r="C30" s="393" t="s">
        <v>235</v>
      </c>
      <c r="D30" s="846"/>
      <c r="E30" s="847"/>
      <c r="F30" s="879"/>
      <c r="G30" s="880"/>
      <c r="H30" s="881"/>
      <c r="I30" s="312"/>
      <c r="J30" s="313"/>
      <c r="K30" s="314"/>
      <c r="L30" s="296" t="str">
        <f t="shared" si="0"/>
        <v/>
      </c>
      <c r="M30" s="319" t="str">
        <f t="shared" si="1"/>
        <v/>
      </c>
      <c r="N30" s="297" t="str">
        <f t="shared" si="2"/>
        <v/>
      </c>
      <c r="O30" s="70"/>
      <c r="P30" s="4"/>
      <c r="R30" s="733"/>
      <c r="T30" s="779" t="str">
        <f>IF(D30="","",VLOOKUP(D30,'9. All Habitats + Multipliers'!$C$4:$K$102,5,FALSE))</f>
        <v/>
      </c>
      <c r="U30" s="780"/>
      <c r="V30" s="348" t="str">
        <f>IF(T30="","",VLOOKUP(T30,'11. Lists'!$S$47:$U$50,2,FALSE))</f>
        <v/>
      </c>
      <c r="W30" s="98" t="str">
        <f>IF(D30="","",VLOOKUP(D30,'10. Condition and Temporal'!$B$6:$C$103,2,FALSE))</f>
        <v/>
      </c>
      <c r="X30" s="99" t="str">
        <f>IF(W30="","",VLOOKUP(W30,'11. Lists'!$F$47:$G$51,2,FALSE))</f>
        <v/>
      </c>
      <c r="Y30" s="48"/>
      <c r="Z30" s="48"/>
      <c r="AA30" s="48"/>
      <c r="AB30" s="188" t="str">
        <f t="shared" si="6"/>
        <v/>
      </c>
      <c r="AC30" s="95" t="str">
        <f>IF(AB30="","",VLOOKUP(AB30,'11. Lists'!$F$36:$H$38,2,FALSE))</f>
        <v/>
      </c>
      <c r="AD30" s="94" t="str">
        <f>IF(AB30="","",VLOOKUP(AB30,'11. Lists'!$F$36:$H$38,3,FALSE))</f>
        <v/>
      </c>
      <c r="AE30" s="302" t="str">
        <f t="shared" si="3"/>
        <v/>
      </c>
      <c r="AF30" s="303"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5" t="s">
        <v>236</v>
      </c>
      <c r="I31" s="315">
        <f t="shared" ref="I31:N31" si="7">SUM(I11:I30)</f>
        <v>5</v>
      </c>
      <c r="J31" s="316">
        <f t="shared" si="7"/>
        <v>0</v>
      </c>
      <c r="K31" s="317">
        <f t="shared" si="7"/>
        <v>0</v>
      </c>
      <c r="L31" s="283">
        <f t="shared" si="7"/>
        <v>0.04</v>
      </c>
      <c r="M31" s="323">
        <f t="shared" si="7"/>
        <v>5</v>
      </c>
      <c r="N31" s="284">
        <f t="shared" si="7"/>
        <v>0.04</v>
      </c>
      <c r="R31" s="733"/>
    </row>
    <row r="32" spans="2:35" s="25" customFormat="1">
      <c r="D32" s="89"/>
      <c r="E32" s="103"/>
      <c r="F32" s="103"/>
      <c r="G32" s="103"/>
      <c r="H32" s="293" t="s">
        <v>106</v>
      </c>
      <c r="I32" s="890" t="str">
        <f>IF(I31&lt;J31+K31,"Error - Lengths Retained and Enhanced Exceed Total Length ▲","Lengths Acceptable ✓")</f>
        <v>Lengths Acceptable ✓</v>
      </c>
      <c r="J32" s="890"/>
      <c r="K32" s="890"/>
      <c r="L32" s="890"/>
      <c r="M32" s="890"/>
      <c r="N32" s="891"/>
      <c r="O32" s="161">
        <f>IFERROR(FIND("Error",I32),0)</f>
        <v>0</v>
      </c>
      <c r="R32" s="104"/>
    </row>
    <row r="33" spans="2:34" s="25" customFormat="1" ht="15" thickBot="1">
      <c r="D33" s="89"/>
      <c r="E33" s="103"/>
      <c r="F33" s="103"/>
      <c r="G33" s="103"/>
      <c r="H33" s="276" t="s">
        <v>107</v>
      </c>
      <c r="I33" s="858" t="str">
        <f>IF(I31&lt;5000,"Lengths Acceptable ✓",IF(I31&gt;=5000,"Length Exceeds Length Appropriate for Small Sites Metric ▲"))</f>
        <v>Lengths Acceptable ✓</v>
      </c>
      <c r="J33" s="858"/>
      <c r="K33" s="858"/>
      <c r="L33" s="858"/>
      <c r="M33" s="858"/>
      <c r="N33" s="859"/>
      <c r="O33" s="161">
        <f>COUNTIF(L11:N30,"*"&amp;"error"&amp;"*")</f>
        <v>0</v>
      </c>
      <c r="R33" s="104"/>
    </row>
    <row r="34" spans="2:34" s="25" customFormat="1">
      <c r="D34" s="89"/>
      <c r="E34" s="103"/>
      <c r="F34" s="103"/>
      <c r="G34" s="103"/>
      <c r="H34" s="103"/>
      <c r="I34" s="103"/>
      <c r="J34" s="103"/>
      <c r="K34" s="103"/>
      <c r="L34" s="103"/>
      <c r="M34" s="103"/>
      <c r="N34" s="103"/>
      <c r="O34" s="103"/>
      <c r="R34" s="733" t="s">
        <v>64</v>
      </c>
    </row>
    <row r="35" spans="2:34" s="25" customFormat="1" ht="21">
      <c r="B35" s="57" t="s">
        <v>109</v>
      </c>
      <c r="D35" s="88"/>
      <c r="E35" s="103"/>
      <c r="F35" s="103"/>
      <c r="G35" s="103"/>
      <c r="I35" s="26"/>
      <c r="R35" s="733"/>
    </row>
    <row r="36" spans="2:34" s="25" customFormat="1" ht="15.75" customHeight="1" thickBot="1">
      <c r="R36" s="733"/>
    </row>
    <row r="37" spans="2:34" s="25" customFormat="1" ht="16.2" customHeight="1">
      <c r="B37" s="711" t="s">
        <v>58</v>
      </c>
      <c r="C37" s="710"/>
      <c r="D37" s="760"/>
      <c r="E37" s="700" t="s">
        <v>110</v>
      </c>
      <c r="F37" s="701"/>
      <c r="G37" s="702"/>
      <c r="H37" s="701" t="s">
        <v>111</v>
      </c>
      <c r="I37" s="646" t="s">
        <v>237</v>
      </c>
      <c r="J37" s="774"/>
      <c r="K37" s="647"/>
      <c r="L37" s="700" t="s">
        <v>238</v>
      </c>
      <c r="M37" s="710"/>
      <c r="N37" s="702"/>
      <c r="O37" s="759" t="s">
        <v>77</v>
      </c>
      <c r="P37" s="702"/>
      <c r="R37" s="733"/>
      <c r="T37" s="676" t="s">
        <v>78</v>
      </c>
      <c r="U37" s="677"/>
      <c r="V37" s="868"/>
      <c r="W37" s="676" t="s">
        <v>79</v>
      </c>
      <c r="X37" s="678"/>
      <c r="Y37" s="792"/>
      <c r="Z37" s="792"/>
      <c r="AA37" s="792"/>
      <c r="AB37" s="791" t="s">
        <v>80</v>
      </c>
      <c r="AC37" s="677"/>
      <c r="AD37" s="678"/>
      <c r="AE37" s="676" t="s">
        <v>114</v>
      </c>
      <c r="AF37" s="678"/>
      <c r="AG37" s="676" t="s">
        <v>115</v>
      </c>
      <c r="AH37" s="678"/>
    </row>
    <row r="38" spans="2:34" s="25" customFormat="1" ht="31.8" thickBot="1">
      <c r="B38" s="659"/>
      <c r="C38" s="201" t="s">
        <v>84</v>
      </c>
      <c r="D38" s="202" t="s">
        <v>116</v>
      </c>
      <c r="E38" s="86" t="s">
        <v>117</v>
      </c>
      <c r="F38" s="662" t="s">
        <v>118</v>
      </c>
      <c r="G38" s="671"/>
      <c r="H38" s="660"/>
      <c r="I38" s="648"/>
      <c r="J38" s="775"/>
      <c r="K38" s="649"/>
      <c r="L38" s="887"/>
      <c r="M38" s="888"/>
      <c r="N38" s="889"/>
      <c r="O38" s="200" t="s">
        <v>92</v>
      </c>
      <c r="P38" s="90" t="s">
        <v>93</v>
      </c>
      <c r="R38" s="733"/>
      <c r="T38" s="777" t="s">
        <v>94</v>
      </c>
      <c r="U38" s="778"/>
      <c r="V38" s="345" t="s">
        <v>95</v>
      </c>
      <c r="W38" s="91" t="s">
        <v>96</v>
      </c>
      <c r="X38" s="92" t="s">
        <v>95</v>
      </c>
      <c r="Y38" s="350"/>
      <c r="Z38" s="350"/>
      <c r="AA38" s="350"/>
      <c r="AB38" s="338" t="s">
        <v>80</v>
      </c>
      <c r="AC38" s="49" t="s">
        <v>80</v>
      </c>
      <c r="AD38" s="92" t="s">
        <v>97</v>
      </c>
      <c r="AE38" s="91" t="s">
        <v>119</v>
      </c>
      <c r="AF38" s="92" t="s">
        <v>120</v>
      </c>
      <c r="AG38" s="91" t="s">
        <v>121</v>
      </c>
      <c r="AH38" s="92" t="s">
        <v>122</v>
      </c>
    </row>
    <row r="39" spans="2:34" s="25" customFormat="1" ht="28.8">
      <c r="B39" s="267">
        <v>1</v>
      </c>
      <c r="C39" s="390" t="s">
        <v>235</v>
      </c>
      <c r="D39" s="73"/>
      <c r="E39" s="105" t="str">
        <f>IF(D39="","",VLOOKUP(D39,'10. Condition and Temporal'!$B$6:$D$103,3,FALSE))</f>
        <v/>
      </c>
      <c r="F39" s="892"/>
      <c r="G39" s="893"/>
      <c r="H39" s="72"/>
      <c r="I39" s="716"/>
      <c r="J39" s="717"/>
      <c r="K39" s="717"/>
      <c r="L39" s="894" t="str">
        <f>IF(D39="","",IFERROR(IF(I39="","",((I39/1000)*(V39*X39))*(AH39*AF39)*AD39),"This intervention is not permitted within the SSM ▲"))</f>
        <v/>
      </c>
      <c r="M39" s="895"/>
      <c r="N39" s="896"/>
      <c r="O39" s="214"/>
      <c r="P39" s="1"/>
      <c r="Q39" s="106"/>
      <c r="R39" s="733"/>
      <c r="T39" s="779" t="str">
        <f>IF(D39="","",VLOOKUP(D39,'9. All Habitats + Multipliers'!$C$4:$K$102,5,FALSE))</f>
        <v/>
      </c>
      <c r="U39" s="780"/>
      <c r="V39" s="348" t="str">
        <f>IF(T39="","",VLOOKUP(T39,'11. Lists'!$S$47:$U$50,2,FALSE))</f>
        <v/>
      </c>
      <c r="W39" s="93" t="str">
        <f>IF(F39="","",F39)</f>
        <v/>
      </c>
      <c r="X39" s="94" t="str">
        <f>IF(W39="","",VLOOKUP(W39,'11. Lists'!$F$47:$G$51,2,FALSE))</f>
        <v/>
      </c>
      <c r="Y39" s="48"/>
      <c r="Z39" s="48"/>
      <c r="AA39" s="48"/>
      <c r="AB39" s="188"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28.8">
      <c r="B40" s="268">
        <v>2</v>
      </c>
      <c r="C40" s="390" t="s">
        <v>235</v>
      </c>
      <c r="D40" s="73"/>
      <c r="E40" s="105" t="str">
        <f>IF(D40="","",VLOOKUP(D40,'10. Condition and Temporal'!$B$6:$D$103,3,FALSE))</f>
        <v/>
      </c>
      <c r="F40" s="882"/>
      <c r="G40" s="883"/>
      <c r="H40" s="71"/>
      <c r="I40" s="716"/>
      <c r="J40" s="717"/>
      <c r="K40" s="717"/>
      <c r="L40" s="884" t="str">
        <f t="shared" ref="L40:L58" si="8">IF(D40="","",IFERROR(IF(I40="","",((I40/1000)*(V40*X40))*(AH40*AF40)*AD40),"This intervention is not permitted within the SSM ▲"))</f>
        <v/>
      </c>
      <c r="M40" s="885"/>
      <c r="N40" s="886"/>
      <c r="O40" s="74"/>
      <c r="P40" s="12"/>
      <c r="Q40" s="106"/>
      <c r="R40" s="733"/>
      <c r="T40" s="779" t="str">
        <f>IF(D40="","",VLOOKUP(D40,'9. All Habitats + Multipliers'!$C$4:$K$102,5,FALSE))</f>
        <v/>
      </c>
      <c r="U40" s="780"/>
      <c r="V40" s="348" t="str">
        <f>IF(T40="","",VLOOKUP(T40,'11. Lists'!$S$47:$U$50,2,FALSE))</f>
        <v/>
      </c>
      <c r="W40" s="93" t="str">
        <f>IF(F40="","",F40)</f>
        <v/>
      </c>
      <c r="X40" s="94" t="str">
        <f>IF(W40="","",VLOOKUP(W40,'11. Lists'!$F$47:$G$51,2,FALSE))</f>
        <v/>
      </c>
      <c r="Y40" s="48"/>
      <c r="Z40" s="48"/>
      <c r="AA40" s="48"/>
      <c r="AB40" s="188"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28.8">
      <c r="B41" s="268">
        <v>3</v>
      </c>
      <c r="C41" s="390" t="s">
        <v>235</v>
      </c>
      <c r="D41" s="73"/>
      <c r="E41" s="105" t="str">
        <f>IF(D41="","",VLOOKUP(D41,'10. Condition and Temporal'!$B$6:$D$103,3,FALSE))</f>
        <v/>
      </c>
      <c r="F41" s="882"/>
      <c r="G41" s="883"/>
      <c r="H41" s="71"/>
      <c r="I41" s="716"/>
      <c r="J41" s="717"/>
      <c r="K41" s="717"/>
      <c r="L41" s="884" t="str">
        <f t="shared" si="8"/>
        <v/>
      </c>
      <c r="M41" s="885"/>
      <c r="N41" s="886"/>
      <c r="O41" s="74"/>
      <c r="P41" s="12"/>
      <c r="Q41" s="106"/>
      <c r="R41" s="733"/>
      <c r="T41" s="779" t="str">
        <f>IF(D41="","",VLOOKUP(D41,'9. All Habitats + Multipliers'!$C$4:$K$102,5,FALSE))</f>
        <v/>
      </c>
      <c r="U41" s="780"/>
      <c r="V41" s="348" t="str">
        <f>IF(T41="","",VLOOKUP(T41,'11. Lists'!$S$47:$U$50,2,FALSE))</f>
        <v/>
      </c>
      <c r="W41" s="93" t="str">
        <f>IF(F41="","",F41)</f>
        <v/>
      </c>
      <c r="X41" s="94" t="str">
        <f>IF(W41="","",VLOOKUP(W41,'11. Lists'!$F$47:$G$51,2,FALSE))</f>
        <v/>
      </c>
      <c r="Y41" s="48"/>
      <c r="Z41" s="48"/>
      <c r="AA41" s="48"/>
      <c r="AB41" s="188"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28.8">
      <c r="B42" s="268">
        <v>4</v>
      </c>
      <c r="C42" s="390" t="s">
        <v>235</v>
      </c>
      <c r="D42" s="73"/>
      <c r="E42" s="105" t="str">
        <f>IF(D42="","",VLOOKUP(D42,'10. Condition and Temporal'!$B$6:$D$103,3,FALSE))</f>
        <v/>
      </c>
      <c r="F42" s="882"/>
      <c r="G42" s="883"/>
      <c r="H42" s="71"/>
      <c r="I42" s="716"/>
      <c r="J42" s="717"/>
      <c r="K42" s="717"/>
      <c r="L42" s="884" t="str">
        <f t="shared" si="8"/>
        <v/>
      </c>
      <c r="M42" s="885"/>
      <c r="N42" s="886"/>
      <c r="O42" s="74"/>
      <c r="P42" s="12"/>
      <c r="Q42" s="106"/>
      <c r="R42" s="733"/>
      <c r="T42" s="779" t="str">
        <f>IF(D42="","",VLOOKUP(D42,'9. All Habitats + Multipliers'!$C$4:$K$102,5,FALSE))</f>
        <v/>
      </c>
      <c r="U42" s="780"/>
      <c r="V42" s="348" t="str">
        <f>IF(T42="","",VLOOKUP(T42,'11. Lists'!$S$47:$U$50,2,FALSE))</f>
        <v/>
      </c>
      <c r="W42" s="93" t="str">
        <f>IF(F42="","",F42)</f>
        <v/>
      </c>
      <c r="X42" s="94" t="str">
        <f>IF(W42="","",VLOOKUP(W42,'11. Lists'!$F$47:$G$51,2,FALSE))</f>
        <v/>
      </c>
      <c r="Y42" s="48"/>
      <c r="Z42" s="48"/>
      <c r="AA42" s="48"/>
      <c r="AB42" s="188"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28.8">
      <c r="B43" s="268">
        <v>5</v>
      </c>
      <c r="C43" s="390" t="s">
        <v>235</v>
      </c>
      <c r="D43" s="73"/>
      <c r="E43" s="105" t="str">
        <f>IF(D43="","",VLOOKUP(D43,'10. Condition and Temporal'!$B$6:$D$103,3,FALSE))</f>
        <v/>
      </c>
      <c r="F43" s="882"/>
      <c r="G43" s="883"/>
      <c r="H43" s="71"/>
      <c r="I43" s="716"/>
      <c r="J43" s="717"/>
      <c r="K43" s="717"/>
      <c r="L43" s="884" t="str">
        <f t="shared" si="8"/>
        <v/>
      </c>
      <c r="M43" s="885"/>
      <c r="N43" s="886"/>
      <c r="O43" s="74"/>
      <c r="P43" s="12"/>
      <c r="R43" s="733"/>
      <c r="T43" s="779" t="str">
        <f>IF(D43="","",VLOOKUP(D43,'9. All Habitats + Multipliers'!$C$4:$K$102,5,FALSE))</f>
        <v/>
      </c>
      <c r="U43" s="780"/>
      <c r="V43" s="348" t="str">
        <f>IF(T43="","",VLOOKUP(T43,'11. Lists'!$S$47:$U$50,2,FALSE))</f>
        <v/>
      </c>
      <c r="W43" s="93" t="str">
        <f t="shared" ref="W43:W58" si="10">IF(F43="","",F43)</f>
        <v/>
      </c>
      <c r="X43" s="94" t="str">
        <f>IF(W43="","",VLOOKUP(W43,'11. Lists'!$F$47:$G$51,2,FALSE))</f>
        <v/>
      </c>
      <c r="Y43" s="48"/>
      <c r="Z43" s="48"/>
      <c r="AA43" s="48"/>
      <c r="AB43" s="188"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28.8">
      <c r="B44" s="268">
        <v>6</v>
      </c>
      <c r="C44" s="390" t="s">
        <v>235</v>
      </c>
      <c r="D44" s="73"/>
      <c r="E44" s="105" t="str">
        <f>IF(D44="","",VLOOKUP(D44,'10. Condition and Temporal'!$B$6:$D$103,3,FALSE))</f>
        <v/>
      </c>
      <c r="F44" s="882"/>
      <c r="G44" s="883"/>
      <c r="H44" s="71"/>
      <c r="I44" s="716"/>
      <c r="J44" s="717"/>
      <c r="K44" s="717"/>
      <c r="L44" s="884" t="str">
        <f t="shared" si="8"/>
        <v/>
      </c>
      <c r="M44" s="885"/>
      <c r="N44" s="886"/>
      <c r="O44" s="74"/>
      <c r="P44" s="12"/>
      <c r="R44" s="733"/>
      <c r="T44" s="779" t="str">
        <f>IF(D44="","",VLOOKUP(D44,'9. All Habitats + Multipliers'!$C$4:$K$102,5,FALSE))</f>
        <v/>
      </c>
      <c r="U44" s="780"/>
      <c r="V44" s="348" t="str">
        <f>IF(T44="","",VLOOKUP(T44,'11. Lists'!$S$47:$U$50,2,FALSE))</f>
        <v/>
      </c>
      <c r="W44" s="93" t="str">
        <f t="shared" si="10"/>
        <v/>
      </c>
      <c r="X44" s="94" t="str">
        <f>IF(W44="","",VLOOKUP(W44,'11. Lists'!$F$47:$G$51,2,FALSE))</f>
        <v/>
      </c>
      <c r="Y44" s="48"/>
      <c r="Z44" s="48"/>
      <c r="AA44" s="48"/>
      <c r="AB44" s="188"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28.8">
      <c r="B45" s="268">
        <v>7</v>
      </c>
      <c r="C45" s="390" t="s">
        <v>235</v>
      </c>
      <c r="D45" s="73"/>
      <c r="E45" s="105" t="str">
        <f>IF(D45="","",VLOOKUP(D45,'10. Condition and Temporal'!$B$6:$D$103,3,FALSE))</f>
        <v/>
      </c>
      <c r="F45" s="882"/>
      <c r="G45" s="883"/>
      <c r="H45" s="71"/>
      <c r="I45" s="716"/>
      <c r="J45" s="717"/>
      <c r="K45" s="717"/>
      <c r="L45" s="884" t="str">
        <f t="shared" si="8"/>
        <v/>
      </c>
      <c r="M45" s="885"/>
      <c r="N45" s="886"/>
      <c r="O45" s="74"/>
      <c r="P45" s="12"/>
      <c r="R45" s="733"/>
      <c r="T45" s="779" t="str">
        <f>IF(D45="","",VLOOKUP(D45,'9. All Habitats + Multipliers'!$C$4:$K$102,5,FALSE))</f>
        <v/>
      </c>
      <c r="U45" s="780"/>
      <c r="V45" s="348" t="str">
        <f>IF(T45="","",VLOOKUP(T45,'11. Lists'!$S$47:$U$50,2,FALSE))</f>
        <v/>
      </c>
      <c r="W45" s="93" t="str">
        <f t="shared" si="10"/>
        <v/>
      </c>
      <c r="X45" s="94" t="str">
        <f>IF(W45="","",VLOOKUP(W45,'11. Lists'!$F$47:$G$51,2,FALSE))</f>
        <v/>
      </c>
      <c r="Y45" s="48"/>
      <c r="Z45" s="48"/>
      <c r="AA45" s="48"/>
      <c r="AB45" s="188"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28.8">
      <c r="B46" s="268">
        <v>8</v>
      </c>
      <c r="C46" s="390" t="s">
        <v>235</v>
      </c>
      <c r="D46" s="73"/>
      <c r="E46" s="105" t="str">
        <f>IF(D46="","",VLOOKUP(D46,'10. Condition and Temporal'!$B$6:$D$103,3,FALSE))</f>
        <v/>
      </c>
      <c r="F46" s="882"/>
      <c r="G46" s="883"/>
      <c r="H46" s="71"/>
      <c r="I46" s="716"/>
      <c r="J46" s="717"/>
      <c r="K46" s="717"/>
      <c r="L46" s="884" t="str">
        <f t="shared" si="8"/>
        <v/>
      </c>
      <c r="M46" s="885"/>
      <c r="N46" s="886"/>
      <c r="O46" s="74"/>
      <c r="P46" s="12"/>
      <c r="R46" s="733"/>
      <c r="T46" s="779" t="str">
        <f>IF(D46="","",VLOOKUP(D46,'9. All Habitats + Multipliers'!$C$4:$K$102,5,FALSE))</f>
        <v/>
      </c>
      <c r="U46" s="780"/>
      <c r="V46" s="348" t="str">
        <f>IF(T46="","",VLOOKUP(T46,'11. Lists'!$S$47:$U$50,2,FALSE))</f>
        <v/>
      </c>
      <c r="W46" s="93" t="str">
        <f t="shared" si="10"/>
        <v/>
      </c>
      <c r="X46" s="94" t="str">
        <f>IF(W46="","",VLOOKUP(W46,'11. Lists'!$F$47:$G$51,2,FALSE))</f>
        <v/>
      </c>
      <c r="Y46" s="48"/>
      <c r="Z46" s="48"/>
      <c r="AA46" s="48"/>
      <c r="AB46" s="188"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28.8">
      <c r="B47" s="268">
        <v>9</v>
      </c>
      <c r="C47" s="390" t="s">
        <v>235</v>
      </c>
      <c r="D47" s="73"/>
      <c r="E47" s="105" t="str">
        <f>IF(D47="","",VLOOKUP(D47,'10. Condition and Temporal'!$B$6:$D$103,3,FALSE))</f>
        <v/>
      </c>
      <c r="F47" s="882"/>
      <c r="G47" s="883"/>
      <c r="H47" s="71"/>
      <c r="I47" s="716"/>
      <c r="J47" s="717"/>
      <c r="K47" s="717"/>
      <c r="L47" s="884" t="str">
        <f t="shared" si="8"/>
        <v/>
      </c>
      <c r="M47" s="885"/>
      <c r="N47" s="886"/>
      <c r="O47" s="74"/>
      <c r="P47" s="12"/>
      <c r="R47" s="733"/>
      <c r="T47" s="779" t="str">
        <f>IF(D47="","",VLOOKUP(D47,'9. All Habitats + Multipliers'!$C$4:$K$102,5,FALSE))</f>
        <v/>
      </c>
      <c r="U47" s="780"/>
      <c r="V47" s="348" t="str">
        <f>IF(T47="","",VLOOKUP(T47,'11. Lists'!$S$47:$U$50,2,FALSE))</f>
        <v/>
      </c>
      <c r="W47" s="93" t="str">
        <f t="shared" si="10"/>
        <v/>
      </c>
      <c r="X47" s="94" t="str">
        <f>IF(W47="","",VLOOKUP(W47,'11. Lists'!$F$47:$G$51,2,FALSE))</f>
        <v/>
      </c>
      <c r="Y47" s="48"/>
      <c r="Z47" s="48"/>
      <c r="AA47" s="48"/>
      <c r="AB47" s="188"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28.8">
      <c r="B48" s="268">
        <v>10</v>
      </c>
      <c r="C48" s="391" t="s">
        <v>235</v>
      </c>
      <c r="D48" s="73"/>
      <c r="E48" s="105" t="str">
        <f>IF(D48="","",VLOOKUP(D48,'10. Condition and Temporal'!$B$6:$D$103,3,FALSE))</f>
        <v/>
      </c>
      <c r="F48" s="882"/>
      <c r="G48" s="883"/>
      <c r="H48" s="71"/>
      <c r="I48" s="716"/>
      <c r="J48" s="717"/>
      <c r="K48" s="717"/>
      <c r="L48" s="884" t="str">
        <f t="shared" si="8"/>
        <v/>
      </c>
      <c r="M48" s="885"/>
      <c r="N48" s="886"/>
      <c r="O48" s="74"/>
      <c r="P48" s="12"/>
      <c r="R48" s="733"/>
      <c r="T48" s="779" t="str">
        <f>IF(D48="","",VLOOKUP(D48,'9. All Habitats + Multipliers'!$C$4:$K$102,5,FALSE))</f>
        <v/>
      </c>
      <c r="U48" s="780"/>
      <c r="V48" s="348" t="str">
        <f>IF(T48="","",VLOOKUP(T48,'11. Lists'!$S$47:$U$50,2,FALSE))</f>
        <v/>
      </c>
      <c r="W48" s="93" t="str">
        <f t="shared" si="10"/>
        <v/>
      </c>
      <c r="X48" s="94" t="str">
        <f>IF(W48="","",VLOOKUP(W48,'11. Lists'!$F$47:$G$51,2,FALSE))</f>
        <v/>
      </c>
      <c r="Y48" s="48"/>
      <c r="Z48" s="48"/>
      <c r="AA48" s="48"/>
      <c r="AB48" s="188"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28.8">
      <c r="B49" s="268">
        <v>11</v>
      </c>
      <c r="C49" s="390" t="s">
        <v>235</v>
      </c>
      <c r="D49" s="73"/>
      <c r="E49" s="105" t="str">
        <f>IF(D49="","",VLOOKUP(D49,'10. Condition and Temporal'!$B$6:$D$103,3,FALSE))</f>
        <v/>
      </c>
      <c r="F49" s="882"/>
      <c r="G49" s="883"/>
      <c r="H49" s="71"/>
      <c r="I49" s="716"/>
      <c r="J49" s="717"/>
      <c r="K49" s="717"/>
      <c r="L49" s="884" t="str">
        <f t="shared" si="8"/>
        <v/>
      </c>
      <c r="M49" s="885"/>
      <c r="N49" s="886"/>
      <c r="O49" s="74"/>
      <c r="P49" s="12"/>
      <c r="R49" s="733"/>
      <c r="T49" s="779" t="str">
        <f>IF(D49="","",VLOOKUP(D49,'9. All Habitats + Multipliers'!$C$4:$K$102,5,FALSE))</f>
        <v/>
      </c>
      <c r="U49" s="780"/>
      <c r="V49" s="348" t="str">
        <f>IF(T49="","",VLOOKUP(T49,'11. Lists'!$S$47:$U$50,2,FALSE))</f>
        <v/>
      </c>
      <c r="W49" s="93" t="str">
        <f t="shared" si="10"/>
        <v/>
      </c>
      <c r="X49" s="94" t="str">
        <f>IF(W49="","",VLOOKUP(W49,'11. Lists'!$F$47:$G$51,2,FALSE))</f>
        <v/>
      </c>
      <c r="Y49" s="48"/>
      <c r="Z49" s="48"/>
      <c r="AA49" s="48"/>
      <c r="AB49" s="188"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28.8">
      <c r="B50" s="268">
        <v>12</v>
      </c>
      <c r="C50" s="390" t="s">
        <v>235</v>
      </c>
      <c r="D50" s="73"/>
      <c r="E50" s="105" t="str">
        <f>IF(D50="","",VLOOKUP(D50,'10. Condition and Temporal'!$B$6:$D$103,3,FALSE))</f>
        <v/>
      </c>
      <c r="F50" s="882"/>
      <c r="G50" s="883"/>
      <c r="H50" s="71"/>
      <c r="I50" s="716"/>
      <c r="J50" s="717"/>
      <c r="K50" s="717"/>
      <c r="L50" s="884" t="str">
        <f t="shared" si="8"/>
        <v/>
      </c>
      <c r="M50" s="885"/>
      <c r="N50" s="886"/>
      <c r="O50" s="74"/>
      <c r="P50" s="12"/>
      <c r="R50" s="733"/>
      <c r="T50" s="779" t="str">
        <f>IF(D50="","",VLOOKUP(D50,'9. All Habitats + Multipliers'!$C$4:$K$102,5,FALSE))</f>
        <v/>
      </c>
      <c r="U50" s="780"/>
      <c r="V50" s="348" t="str">
        <f>IF(T50="","",VLOOKUP(T50,'11. Lists'!$S$47:$U$50,2,FALSE))</f>
        <v/>
      </c>
      <c r="W50" s="93" t="str">
        <f t="shared" si="10"/>
        <v/>
      </c>
      <c r="X50" s="94" t="str">
        <f>IF(W50="","",VLOOKUP(W50,'11. Lists'!$F$47:$G$51,2,FALSE))</f>
        <v/>
      </c>
      <c r="Y50" s="48"/>
      <c r="Z50" s="48"/>
      <c r="AA50" s="48"/>
      <c r="AB50" s="188"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28.8">
      <c r="B51" s="268">
        <v>13</v>
      </c>
      <c r="C51" s="390" t="s">
        <v>235</v>
      </c>
      <c r="D51" s="73"/>
      <c r="E51" s="105" t="str">
        <f>IF(D51="","",VLOOKUP(D51,'10. Condition and Temporal'!$B$6:$D$103,3,FALSE))</f>
        <v/>
      </c>
      <c r="F51" s="882"/>
      <c r="G51" s="883"/>
      <c r="H51" s="71"/>
      <c r="I51" s="716"/>
      <c r="J51" s="717"/>
      <c r="K51" s="717"/>
      <c r="L51" s="884" t="str">
        <f t="shared" si="8"/>
        <v/>
      </c>
      <c r="M51" s="885"/>
      <c r="N51" s="886"/>
      <c r="O51" s="74"/>
      <c r="P51" s="12"/>
      <c r="R51" s="733"/>
      <c r="T51" s="779" t="str">
        <f>IF(D51="","",VLOOKUP(D51,'9. All Habitats + Multipliers'!$C$4:$K$102,5,FALSE))</f>
        <v/>
      </c>
      <c r="U51" s="780"/>
      <c r="V51" s="348" t="str">
        <f>IF(T51="","",VLOOKUP(T51,'11. Lists'!$S$47:$U$50,2,FALSE))</f>
        <v/>
      </c>
      <c r="W51" s="93" t="str">
        <f t="shared" si="10"/>
        <v/>
      </c>
      <c r="X51" s="94" t="str">
        <f>IF(W51="","",VLOOKUP(W51,'11. Lists'!$F$47:$G$51,2,FALSE))</f>
        <v/>
      </c>
      <c r="Y51" s="48"/>
      <c r="Z51" s="48"/>
      <c r="AA51" s="48"/>
      <c r="AB51" s="188"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28.8">
      <c r="B52" s="268">
        <v>14</v>
      </c>
      <c r="C52" s="390" t="s">
        <v>235</v>
      </c>
      <c r="D52" s="73"/>
      <c r="E52" s="105" t="str">
        <f>IF(D52="","",VLOOKUP(D52,'10. Condition and Temporal'!$B$6:$D$103,3,FALSE))</f>
        <v/>
      </c>
      <c r="F52" s="882"/>
      <c r="G52" s="883"/>
      <c r="H52" s="71"/>
      <c r="I52" s="716"/>
      <c r="J52" s="717"/>
      <c r="K52" s="717"/>
      <c r="L52" s="884" t="str">
        <f t="shared" si="8"/>
        <v/>
      </c>
      <c r="M52" s="885"/>
      <c r="N52" s="886"/>
      <c r="O52" s="74"/>
      <c r="P52" s="12"/>
      <c r="R52" s="733"/>
      <c r="T52" s="779" t="str">
        <f>IF(D52="","",VLOOKUP(D52,'9. All Habitats + Multipliers'!$C$4:$K$102,5,FALSE))</f>
        <v/>
      </c>
      <c r="U52" s="780"/>
      <c r="V52" s="348" t="str">
        <f>IF(T52="","",VLOOKUP(T52,'11. Lists'!$S$47:$U$50,2,FALSE))</f>
        <v/>
      </c>
      <c r="W52" s="93" t="str">
        <f t="shared" si="10"/>
        <v/>
      </c>
      <c r="X52" s="94" t="str">
        <f>IF(W52="","",VLOOKUP(W52,'11. Lists'!$F$47:$G$51,2,FALSE))</f>
        <v/>
      </c>
      <c r="Y52" s="48"/>
      <c r="Z52" s="48"/>
      <c r="AA52" s="48"/>
      <c r="AB52" s="188"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28.8">
      <c r="B53" s="268">
        <v>15</v>
      </c>
      <c r="C53" s="390" t="s">
        <v>235</v>
      </c>
      <c r="D53" s="73"/>
      <c r="E53" s="105" t="str">
        <f>IF(D53="","",VLOOKUP(D53,'10. Condition and Temporal'!$B$6:$D$103,3,FALSE))</f>
        <v/>
      </c>
      <c r="F53" s="882"/>
      <c r="G53" s="883"/>
      <c r="H53" s="71"/>
      <c r="I53" s="716"/>
      <c r="J53" s="717"/>
      <c r="K53" s="717"/>
      <c r="L53" s="884" t="str">
        <f t="shared" si="8"/>
        <v/>
      </c>
      <c r="M53" s="885"/>
      <c r="N53" s="886"/>
      <c r="O53" s="74"/>
      <c r="P53" s="12"/>
      <c r="R53" s="733"/>
      <c r="T53" s="779" t="str">
        <f>IF(D53="","",VLOOKUP(D53,'9. All Habitats + Multipliers'!$C$4:$K$102,5,FALSE))</f>
        <v/>
      </c>
      <c r="U53" s="780"/>
      <c r="V53" s="348" t="str">
        <f>IF(T53="","",VLOOKUP(T53,'11. Lists'!$S$47:$U$50,2,FALSE))</f>
        <v/>
      </c>
      <c r="W53" s="93" t="str">
        <f t="shared" si="10"/>
        <v/>
      </c>
      <c r="X53" s="94" t="str">
        <f>IF(W53="","",VLOOKUP(W53,'11. Lists'!$F$47:$G$51,2,FALSE))</f>
        <v/>
      </c>
      <c r="Y53" s="48"/>
      <c r="Z53" s="48"/>
      <c r="AA53" s="48"/>
      <c r="AB53" s="188"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28.8">
      <c r="B54" s="268">
        <v>16</v>
      </c>
      <c r="C54" s="390" t="s">
        <v>235</v>
      </c>
      <c r="D54" s="73"/>
      <c r="E54" s="105" t="str">
        <f>IF(D54="","",VLOOKUP(D54,'10. Condition and Temporal'!$B$6:$D$103,3,FALSE))</f>
        <v/>
      </c>
      <c r="F54" s="882"/>
      <c r="G54" s="883"/>
      <c r="H54" s="71"/>
      <c r="I54" s="716"/>
      <c r="J54" s="717"/>
      <c r="K54" s="717"/>
      <c r="L54" s="884" t="str">
        <f t="shared" si="8"/>
        <v/>
      </c>
      <c r="M54" s="885"/>
      <c r="N54" s="886"/>
      <c r="O54" s="74"/>
      <c r="P54" s="12"/>
      <c r="R54" s="733"/>
      <c r="T54" s="779" t="str">
        <f>IF(D54="","",VLOOKUP(D54,'9. All Habitats + Multipliers'!$C$4:$K$102,5,FALSE))</f>
        <v/>
      </c>
      <c r="U54" s="780"/>
      <c r="V54" s="348" t="str">
        <f>IF(T54="","",VLOOKUP(T54,'11. Lists'!$S$47:$U$50,2,FALSE))</f>
        <v/>
      </c>
      <c r="W54" s="93" t="str">
        <f t="shared" si="10"/>
        <v/>
      </c>
      <c r="X54" s="94" t="str">
        <f>IF(W54="","",VLOOKUP(W54,'11. Lists'!$F$47:$G$51,2,FALSE))</f>
        <v/>
      </c>
      <c r="Y54" s="48"/>
      <c r="Z54" s="48"/>
      <c r="AA54" s="48"/>
      <c r="AB54" s="188"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28.8">
      <c r="B55" s="268">
        <v>17</v>
      </c>
      <c r="C55" s="390" t="s">
        <v>235</v>
      </c>
      <c r="D55" s="73"/>
      <c r="E55" s="105" t="str">
        <f>IF(D55="","",VLOOKUP(D55,'10. Condition and Temporal'!$B$6:$D$103,3,FALSE))</f>
        <v/>
      </c>
      <c r="F55" s="882"/>
      <c r="G55" s="883"/>
      <c r="H55" s="71"/>
      <c r="I55" s="716"/>
      <c r="J55" s="717"/>
      <c r="K55" s="717"/>
      <c r="L55" s="884" t="str">
        <f t="shared" si="8"/>
        <v/>
      </c>
      <c r="M55" s="885"/>
      <c r="N55" s="886"/>
      <c r="O55" s="74"/>
      <c r="P55" s="12"/>
      <c r="R55" s="733"/>
      <c r="T55" s="779" t="str">
        <f>IF(D55="","",VLOOKUP(D55,'9. All Habitats + Multipliers'!$C$4:$K$102,5,FALSE))</f>
        <v/>
      </c>
      <c r="U55" s="780"/>
      <c r="V55" s="348" t="str">
        <f>IF(T55="","",VLOOKUP(T55,'11. Lists'!$S$47:$U$50,2,FALSE))</f>
        <v/>
      </c>
      <c r="W55" s="93" t="str">
        <f t="shared" si="10"/>
        <v/>
      </c>
      <c r="X55" s="94" t="str">
        <f>IF(W55="","",VLOOKUP(W55,'11. Lists'!$F$47:$G$51,2,FALSE))</f>
        <v/>
      </c>
      <c r="Y55" s="48"/>
      <c r="Z55" s="48"/>
      <c r="AA55" s="48"/>
      <c r="AB55" s="188"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28.8">
      <c r="B56" s="268">
        <v>18</v>
      </c>
      <c r="C56" s="390" t="s">
        <v>235</v>
      </c>
      <c r="D56" s="73"/>
      <c r="E56" s="105" t="str">
        <f>IF(D56="","",VLOOKUP(D56,'10. Condition and Temporal'!$B$6:$D$103,3,FALSE))</f>
        <v/>
      </c>
      <c r="F56" s="882"/>
      <c r="G56" s="883"/>
      <c r="H56" s="71"/>
      <c r="I56" s="716"/>
      <c r="J56" s="717"/>
      <c r="K56" s="717"/>
      <c r="L56" s="884" t="str">
        <f t="shared" si="8"/>
        <v/>
      </c>
      <c r="M56" s="885"/>
      <c r="N56" s="886"/>
      <c r="O56" s="74"/>
      <c r="P56" s="12"/>
      <c r="R56" s="733"/>
      <c r="T56" s="779" t="str">
        <f>IF(D56="","",VLOOKUP(D56,'9. All Habitats + Multipliers'!$C$4:$K$102,5,FALSE))</f>
        <v/>
      </c>
      <c r="U56" s="780"/>
      <c r="V56" s="348" t="str">
        <f>IF(T56="","",VLOOKUP(T56,'11. Lists'!$S$47:$U$50,2,FALSE))</f>
        <v/>
      </c>
      <c r="W56" s="93" t="str">
        <f t="shared" si="10"/>
        <v/>
      </c>
      <c r="X56" s="94" t="str">
        <f>IF(W56="","",VLOOKUP(W56,'11. Lists'!$F$47:$G$51,2,FALSE))</f>
        <v/>
      </c>
      <c r="Y56" s="48"/>
      <c r="Z56" s="48"/>
      <c r="AA56" s="48"/>
      <c r="AB56" s="188"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28.8">
      <c r="B57" s="268">
        <v>19</v>
      </c>
      <c r="C57" s="392" t="s">
        <v>235</v>
      </c>
      <c r="D57" s="73"/>
      <c r="E57" s="105" t="str">
        <f>IF(D57="","",VLOOKUP(D57,'10. Condition and Temporal'!$B$6:$D$103,3,FALSE))</f>
        <v/>
      </c>
      <c r="F57" s="882"/>
      <c r="G57" s="883"/>
      <c r="H57" s="71"/>
      <c r="I57" s="716"/>
      <c r="J57" s="717"/>
      <c r="K57" s="717"/>
      <c r="L57" s="884" t="str">
        <f t="shared" si="8"/>
        <v/>
      </c>
      <c r="M57" s="885"/>
      <c r="N57" s="886"/>
      <c r="O57" s="74"/>
      <c r="P57" s="12"/>
      <c r="R57" s="733"/>
      <c r="T57" s="779" t="str">
        <f>IF(D57="","",VLOOKUP(D57,'9. All Habitats + Multipliers'!$C$4:$K$102,5,FALSE))</f>
        <v/>
      </c>
      <c r="U57" s="780"/>
      <c r="V57" s="348" t="str">
        <f>IF(T57="","",VLOOKUP(T57,'11. Lists'!$S$47:$U$50,2,FALSE))</f>
        <v/>
      </c>
      <c r="W57" s="93" t="str">
        <f t="shared" si="10"/>
        <v/>
      </c>
      <c r="X57" s="94" t="str">
        <f>IF(W57="","",VLOOKUP(W57,'11. Lists'!$F$47:$G$51,2,FALSE))</f>
        <v/>
      </c>
      <c r="Y57" s="48"/>
      <c r="Z57" s="48"/>
      <c r="AA57" s="48"/>
      <c r="AB57" s="188"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29.4" thickBot="1">
      <c r="B58" s="269">
        <v>20</v>
      </c>
      <c r="C58" s="393" t="s">
        <v>235</v>
      </c>
      <c r="D58" s="136"/>
      <c r="E58" s="137" t="str">
        <f>IF(D58="","",VLOOKUP(D58,'10. Condition and Temporal'!$B$6:$D$103,3,FALSE))</f>
        <v/>
      </c>
      <c r="F58" s="897"/>
      <c r="G58" s="898"/>
      <c r="H58" s="79"/>
      <c r="I58" s="899"/>
      <c r="J58" s="900"/>
      <c r="K58" s="900"/>
      <c r="L58" s="901" t="str">
        <f t="shared" si="8"/>
        <v/>
      </c>
      <c r="M58" s="902"/>
      <c r="N58" s="903"/>
      <c r="O58" s="75"/>
      <c r="P58" s="14"/>
      <c r="R58" s="733"/>
      <c r="T58" s="779" t="str">
        <f>IF(D58="","",VLOOKUP(D58,'9. All Habitats + Multipliers'!$C$4:$K$102,5,FALSE))</f>
        <v/>
      </c>
      <c r="U58" s="780"/>
      <c r="V58" s="348" t="str">
        <f>IF(T58="","",VLOOKUP(T58,'11. Lists'!$S$47:$U$50,2,FALSE))</f>
        <v/>
      </c>
      <c r="W58" s="98" t="str">
        <f t="shared" si="10"/>
        <v/>
      </c>
      <c r="X58" s="99" t="str">
        <f>IF(W58="","",VLOOKUP(W58,'11. Lists'!$F$47:$G$51,2,FALSE))</f>
        <v/>
      </c>
      <c r="Y58" s="48"/>
      <c r="Z58" s="48"/>
      <c r="AA58" s="48"/>
      <c r="AB58" s="188"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 thickBot="1">
      <c r="H59" s="273" t="s">
        <v>236</v>
      </c>
      <c r="I59" s="727">
        <f>SUM(I39:K58)</f>
        <v>0</v>
      </c>
      <c r="J59" s="728"/>
      <c r="K59" s="729"/>
      <c r="L59" s="862">
        <f>SUM(L39:N58)</f>
        <v>0</v>
      </c>
      <c r="M59" s="863"/>
      <c r="N59" s="864"/>
      <c r="R59" s="733"/>
    </row>
    <row r="60" spans="1:73" s="25" customFormat="1" ht="15" thickBot="1">
      <c r="H60" s="276" t="s">
        <v>106</v>
      </c>
      <c r="I60" s="858" t="str">
        <f>IF(I59&lt;5000,"Lengths Acceptable ✓",IF(I59&gt;=5000,"Length Exceeds Length Appropriate for Small Sites Metric ▲"))</f>
        <v>Lengths Acceptable ✓</v>
      </c>
      <c r="J60" s="858"/>
      <c r="K60" s="858"/>
      <c r="L60" s="858"/>
      <c r="M60" s="858"/>
      <c r="N60" s="859"/>
      <c r="R60" s="733"/>
    </row>
    <row r="61" spans="1:73" s="25" customFormat="1">
      <c r="R61" s="733"/>
      <c r="BA61" s="50" t="s">
        <v>126</v>
      </c>
    </row>
    <row r="62" spans="1:73" s="25" customFormat="1" ht="21">
      <c r="B62" s="57" t="s">
        <v>127</v>
      </c>
      <c r="D62" s="88"/>
      <c r="H62" s="26"/>
      <c r="R62" s="733"/>
      <c r="BA62" s="50" t="s">
        <v>128</v>
      </c>
    </row>
    <row r="63" spans="1:73" s="25" customFormat="1" ht="15" thickBot="1">
      <c r="A63" s="904"/>
      <c r="R63" s="733"/>
    </row>
    <row r="64" spans="1:73" s="25" customFormat="1" ht="16.2" customHeight="1" thickBot="1">
      <c r="A64" s="904"/>
      <c r="B64" s="825" t="s">
        <v>129</v>
      </c>
      <c r="C64" s="676" t="s">
        <v>130</v>
      </c>
      <c r="D64" s="678"/>
      <c r="E64" s="700" t="s">
        <v>131</v>
      </c>
      <c r="F64" s="710"/>
      <c r="G64" s="702"/>
      <c r="H64" s="719" t="s">
        <v>132</v>
      </c>
      <c r="I64" s="719" t="s">
        <v>239</v>
      </c>
      <c r="J64" s="721" t="s">
        <v>134</v>
      </c>
      <c r="K64" s="722"/>
      <c r="L64" s="791" t="s">
        <v>135</v>
      </c>
      <c r="M64" s="677" t="s">
        <v>136</v>
      </c>
      <c r="N64" s="678"/>
      <c r="O64" s="811" t="s">
        <v>77</v>
      </c>
      <c r="P64" s="679"/>
      <c r="R64" s="733"/>
      <c r="T64" s="839" t="s">
        <v>137</v>
      </c>
      <c r="U64" s="840"/>
      <c r="V64" s="840"/>
      <c r="W64" s="840"/>
      <c r="X64" s="840"/>
      <c r="Y64" s="840"/>
      <c r="Z64" s="840"/>
      <c r="AA64" s="840"/>
      <c r="AB64" s="840"/>
      <c r="AC64" s="840"/>
      <c r="AD64" s="841"/>
      <c r="AE64" s="719" t="s">
        <v>138</v>
      </c>
      <c r="AF64" s="839" t="s">
        <v>139</v>
      </c>
      <c r="AG64" s="840"/>
      <c r="AH64" s="840"/>
      <c r="AI64" s="840"/>
      <c r="AJ64" s="861"/>
      <c r="AK64" s="861"/>
      <c r="AL64" s="861"/>
      <c r="AM64" s="861"/>
      <c r="AN64" s="861"/>
      <c r="AO64" s="840"/>
      <c r="AP64" s="841"/>
      <c r="AQ64" s="842" t="s">
        <v>140</v>
      </c>
      <c r="AR64" s="839" t="s">
        <v>139</v>
      </c>
      <c r="AS64" s="840"/>
      <c r="AT64" s="840"/>
      <c r="AU64" s="840"/>
      <c r="AV64" s="840"/>
      <c r="AW64" s="840"/>
      <c r="AX64" s="841"/>
      <c r="BA64" s="158" t="s">
        <v>141</v>
      </c>
      <c r="BB64" s="189">
        <f>COUNTIF(BB66:BB85,"?*")</f>
        <v>0</v>
      </c>
      <c r="BC64" s="189">
        <f t="shared" ref="BC64:BU64" si="11">COUNTIF(BC66:BC85,"?*")</f>
        <v>0</v>
      </c>
      <c r="BD64" s="189">
        <f t="shared" si="11"/>
        <v>0</v>
      </c>
      <c r="BE64" s="189">
        <f t="shared" si="11"/>
        <v>0</v>
      </c>
      <c r="BF64" s="189">
        <f t="shared" si="11"/>
        <v>0</v>
      </c>
      <c r="BG64" s="189">
        <f t="shared" si="11"/>
        <v>0</v>
      </c>
      <c r="BH64" s="189">
        <f t="shared" si="11"/>
        <v>0</v>
      </c>
      <c r="BI64" s="189">
        <f t="shared" si="11"/>
        <v>0</v>
      </c>
      <c r="BJ64" s="189">
        <f t="shared" si="11"/>
        <v>0</v>
      </c>
      <c r="BK64" s="189">
        <f t="shared" si="11"/>
        <v>0</v>
      </c>
      <c r="BL64" s="189">
        <f t="shared" si="11"/>
        <v>0</v>
      </c>
      <c r="BM64" s="189">
        <f t="shared" si="11"/>
        <v>0</v>
      </c>
      <c r="BN64" s="189">
        <f t="shared" si="11"/>
        <v>0</v>
      </c>
      <c r="BO64" s="189">
        <f t="shared" si="11"/>
        <v>0</v>
      </c>
      <c r="BP64" s="189">
        <f t="shared" si="11"/>
        <v>0</v>
      </c>
      <c r="BQ64" s="189">
        <f t="shared" si="11"/>
        <v>0</v>
      </c>
      <c r="BR64" s="189">
        <f t="shared" si="11"/>
        <v>0</v>
      </c>
      <c r="BS64" s="189">
        <f t="shared" si="11"/>
        <v>0</v>
      </c>
      <c r="BT64" s="189">
        <f t="shared" si="11"/>
        <v>0</v>
      </c>
      <c r="BU64" s="189">
        <f t="shared" si="11"/>
        <v>0</v>
      </c>
    </row>
    <row r="65" spans="1:76" s="25" customFormat="1" ht="41.55" customHeight="1" thickBot="1">
      <c r="A65" s="904"/>
      <c r="B65" s="826"/>
      <c r="C65" s="215" t="s">
        <v>142</v>
      </c>
      <c r="D65" s="90" t="s">
        <v>143</v>
      </c>
      <c r="E65" s="86" t="s">
        <v>144</v>
      </c>
      <c r="F65" s="662" t="s">
        <v>145</v>
      </c>
      <c r="G65" s="671"/>
      <c r="H65" s="720"/>
      <c r="I65" s="720"/>
      <c r="J65" s="723"/>
      <c r="K65" s="724"/>
      <c r="L65" s="908"/>
      <c r="M65" s="692"/>
      <c r="N65" s="693"/>
      <c r="O65" s="200" t="s">
        <v>92</v>
      </c>
      <c r="P65" s="90" t="s">
        <v>93</v>
      </c>
      <c r="R65" s="733"/>
      <c r="T65" s="336" t="s">
        <v>146</v>
      </c>
      <c r="U65" s="355" t="s">
        <v>147</v>
      </c>
      <c r="V65" s="354" t="s">
        <v>148</v>
      </c>
      <c r="W65" s="355" t="s">
        <v>149</v>
      </c>
      <c r="X65" s="358" t="s">
        <v>150</v>
      </c>
      <c r="Y65" s="359"/>
      <c r="Z65" s="359"/>
      <c r="AA65" s="359"/>
      <c r="AB65" s="358" t="s">
        <v>151</v>
      </c>
      <c r="AC65" s="357" t="s">
        <v>152</v>
      </c>
      <c r="AD65" s="354" t="s">
        <v>153</v>
      </c>
      <c r="AE65" s="720"/>
      <c r="AF65" s="337" t="s">
        <v>146</v>
      </c>
      <c r="AG65" s="355" t="s">
        <v>94</v>
      </c>
      <c r="AH65" s="354" t="s">
        <v>95</v>
      </c>
      <c r="AI65" s="337" t="s">
        <v>96</v>
      </c>
      <c r="AJ65" s="361" t="s">
        <v>95</v>
      </c>
      <c r="AK65" s="370"/>
      <c r="AL65" s="370"/>
      <c r="AM65" s="370"/>
      <c r="AN65" s="362" t="s">
        <v>80</v>
      </c>
      <c r="AO65" s="356" t="s">
        <v>80</v>
      </c>
      <c r="AP65" s="354" t="s">
        <v>97</v>
      </c>
      <c r="AQ65" s="860"/>
      <c r="AR65" s="354" t="s">
        <v>154</v>
      </c>
      <c r="AS65" s="355" t="s">
        <v>155</v>
      </c>
      <c r="AT65" s="354" t="s">
        <v>156</v>
      </c>
      <c r="AU65" s="356" t="s">
        <v>157</v>
      </c>
      <c r="AV65" s="354" t="s">
        <v>158</v>
      </c>
      <c r="AW65" s="185" t="s">
        <v>159</v>
      </c>
      <c r="AX65" s="186" t="s">
        <v>160</v>
      </c>
      <c r="BA65" s="83" t="s">
        <v>240</v>
      </c>
      <c r="BB65" s="173">
        <v>1</v>
      </c>
      <c r="BC65" s="173">
        <v>2</v>
      </c>
      <c r="BD65" s="173">
        <v>3</v>
      </c>
      <c r="BE65" s="173">
        <v>4</v>
      </c>
      <c r="BF65" s="173">
        <v>5</v>
      </c>
      <c r="BG65" s="173">
        <v>6</v>
      </c>
      <c r="BH65" s="173">
        <v>7</v>
      </c>
      <c r="BI65" s="173">
        <v>8</v>
      </c>
      <c r="BJ65" s="173">
        <v>9</v>
      </c>
      <c r="BK65" s="173">
        <v>10</v>
      </c>
      <c r="BL65" s="173">
        <v>11</v>
      </c>
      <c r="BM65" s="173">
        <v>12</v>
      </c>
      <c r="BN65" s="173">
        <v>13</v>
      </c>
      <c r="BO65" s="173">
        <v>14</v>
      </c>
      <c r="BP65" s="173">
        <v>15</v>
      </c>
      <c r="BQ65" s="173">
        <v>16</v>
      </c>
      <c r="BR65" s="173">
        <v>17</v>
      </c>
      <c r="BS65" s="173">
        <v>18</v>
      </c>
      <c r="BT65" s="173">
        <v>19</v>
      </c>
      <c r="BU65" s="173">
        <v>20</v>
      </c>
      <c r="BV65" s="187" t="s">
        <v>163</v>
      </c>
      <c r="BW65" s="173" t="s">
        <v>164</v>
      </c>
      <c r="BX65" s="173" t="s">
        <v>165</v>
      </c>
    </row>
    <row r="66" spans="1:76" s="25" customFormat="1" ht="15.6">
      <c r="B66" s="274">
        <v>1</v>
      </c>
      <c r="C66" s="423" t="str">
        <f t="shared" ref="C66:C85" si="12">IF(D66="","",C11)</f>
        <v/>
      </c>
      <c r="D66" s="424" t="str">
        <f>IF(OR(K11="", K11=0),"",D11)</f>
        <v/>
      </c>
      <c r="E66" s="425" t="str">
        <f t="shared" ref="E66:E85" si="13">IF(AX66="","",AX66)</f>
        <v/>
      </c>
      <c r="F66" s="874"/>
      <c r="G66" s="875"/>
      <c r="H66" s="426" t="str">
        <f t="shared" ref="H66:H85" si="14">IF(D66="","",AB66)</f>
        <v/>
      </c>
      <c r="I66" s="427" t="str">
        <f>IF(OR(K11="", K11=0),"",K11)</f>
        <v/>
      </c>
      <c r="J66" s="905" t="str">
        <f>IFERROR(IF(F66="","",VLOOKUP(F66,'10. Condition and Temporal'!$B$6:$F$103,5,FALSE)), "Error ▲")</f>
        <v/>
      </c>
      <c r="K66" s="906"/>
      <c r="L66" s="299" t="str">
        <f>IFERROR(IF(D66="","",IF(AX66="Distinctiveness",(((((I66*AH66*AJ66)-(I66*V66*X66))*(AV66*AT66))+(I66*V66*X66))*AP66/1000),((((I66*AH66*AJ66)-(I66*V66*X66))*(AV66*AR66))+(I66*V66*X66))*AP66/1000)),"This intervention is not permitted within the SSM ▲")</f>
        <v/>
      </c>
      <c r="M66" s="909" t="str">
        <f>IFERROR(IF(F66="","",L66-AD66), "Error ▲")</f>
        <v/>
      </c>
      <c r="N66" s="910"/>
      <c r="O66" s="221"/>
      <c r="P66" s="145"/>
      <c r="R66" s="733"/>
      <c r="T66" s="181" t="str">
        <f t="shared" ref="T66:T85" si="15">IF(D66="","",K11)</f>
        <v/>
      </c>
      <c r="U66" s="115" t="str">
        <f>IF($D66="","",T11)</f>
        <v/>
      </c>
      <c r="V66" s="116" t="str">
        <f t="shared" ref="V66:X85" si="16">IF($D66="","",V11)</f>
        <v/>
      </c>
      <c r="W66" s="115" t="str">
        <f t="shared" si="16"/>
        <v/>
      </c>
      <c r="X66" s="95" t="str">
        <f t="shared" si="16"/>
        <v/>
      </c>
      <c r="Y66" s="347"/>
      <c r="Z66" s="347"/>
      <c r="AA66" s="347"/>
      <c r="AB66" s="95" t="str">
        <f t="shared" ref="AB66:AB85" si="17">IF($D66="","",AB11)</f>
        <v/>
      </c>
      <c r="AC66" s="117" t="str">
        <f t="shared" ref="AC66:AC85" si="18">IF($D66="","",AD11)</f>
        <v/>
      </c>
      <c r="AD66" s="116" t="str">
        <f>IF(AC66="","",(T66*V66*X66)*AC66/1000)</f>
        <v/>
      </c>
      <c r="AE66" s="183" t="str">
        <f>IF(AD66="","",IF(AH66&lt;V66,"Not Acceptable","Acceptable"))</f>
        <v/>
      </c>
      <c r="AF66" s="114" t="str">
        <f t="shared" ref="AF66:AF85" si="19">IF(D66="","",I66)</f>
        <v/>
      </c>
      <c r="AG66" s="115" t="str">
        <f>IF(D66="","",VLOOKUP(F66,'9. All Habitats + Multipliers'!$C$4:$K$102,5,FALSE))</f>
        <v/>
      </c>
      <c r="AH66" s="116" t="str">
        <f>IF(AG66="","",VLOOKUP(AG66,'11. Lists'!$S$47:$U$50,2,FALSE))</f>
        <v/>
      </c>
      <c r="AI66" s="114" t="str">
        <f t="shared" ref="AI66:AI85" si="20">IF(D66="","",J66)</f>
        <v/>
      </c>
      <c r="AJ66" s="93" t="str">
        <f>IF(AI66="","",VLOOKUP(AI66,'11. Lists'!$F$47:$G$51,2,FALSE))</f>
        <v/>
      </c>
      <c r="AK66" s="347"/>
      <c r="AL66" s="347"/>
      <c r="AM66" s="347"/>
      <c r="AN66" s="94" t="str">
        <f t="shared" ref="AN66:AN85" si="21">IF(H66="","",H66)</f>
        <v/>
      </c>
      <c r="AO66" s="118" t="str">
        <f>IF(AN66="","",VLOOKUP(AN66,'11. Lists'!$F$36:$H$38,2,FALSE))</f>
        <v/>
      </c>
      <c r="AP66" s="116" t="str">
        <f>IF(AN66="","",VLOOKUP(AN66,'11. Lists'!$F$36:$H$38,3,FALSE))</f>
        <v/>
      </c>
      <c r="AQ66" s="115" t="str">
        <f>IF(D66="","",IF(AX66="Distinctiveness","N/A",VLOOKUP(F66,'10. Condition and Temporal'!$B$6:$L$103,11,FALSE)))</f>
        <v/>
      </c>
      <c r="AR66" s="119" t="str">
        <f>IF(AQ66="","",IF(AQ66="N/A","1",VLOOKUP(AQ66,'11. Lists'!$I$47:$K$80,3,FALSE)))</f>
        <v/>
      </c>
      <c r="AS66" s="135" t="str">
        <f>IF(D66="","",IF(AX66="Condition","N/A",VLOOKUP(F66,'10. Condition and Temporal'!$B$6:$M$106,12,FALSE)))</f>
        <v/>
      </c>
      <c r="AT66" s="119" t="str">
        <f>IF(AS66="","",IF(AS66="N/A","1",VLOOKUP(AS66,'11. Lists'!$I$47:$K$80,3,FALSE)))</f>
        <v/>
      </c>
      <c r="AU66" s="118" t="str">
        <f>IF(D66="","",VLOOKUP(F66,'9. All Habitats + Multipliers'!$C$4:$K$102,8,FALSE))</f>
        <v/>
      </c>
      <c r="AV66" s="116" t="str">
        <f>IF(AU66="","",VLOOKUP(AU66,'11. Lists'!$J$35:$K$38,2,FALSE))</f>
        <v/>
      </c>
      <c r="AW66" s="115" t="str">
        <f>IF(D66="","",VLOOKUP(D66,'10. Condition and Temporal'!$B$6:$M$103,4,FALSE))</f>
        <v/>
      </c>
      <c r="AX66" s="116" t="str">
        <f t="shared" ref="AX66:AX85" si="22">IF(F66="","",IF(D66=F66,"Condition","Distinctiveness"))</f>
        <v/>
      </c>
      <c r="AZ66" s="210"/>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8" t="str">
        <f>IF(BX66=0,"",CONCATENATE(BW66,"66:",BW66,BX66+65))</f>
        <v/>
      </c>
      <c r="BW66" s="95" t="s">
        <v>166</v>
      </c>
      <c r="BX66" s="95">
        <f>BB64</f>
        <v>0</v>
      </c>
    </row>
    <row r="67" spans="1:76" s="25" customFormat="1" ht="15.6">
      <c r="B67" s="268">
        <v>2</v>
      </c>
      <c r="C67" s="120" t="str">
        <f t="shared" si="12"/>
        <v/>
      </c>
      <c r="D67" s="212" t="str">
        <f t="shared" ref="D67:D85" si="43">IF(OR(K12="", K12=0),"",D12)</f>
        <v/>
      </c>
      <c r="E67" s="170" t="str">
        <f t="shared" si="13"/>
        <v/>
      </c>
      <c r="F67" s="818"/>
      <c r="G67" s="819"/>
      <c r="H67" s="167" t="str">
        <f t="shared" si="14"/>
        <v/>
      </c>
      <c r="I67" s="324" t="str">
        <f t="shared" ref="I67:I85" si="44">IF(OR(K12="", K12=0),"",K12)</f>
        <v/>
      </c>
      <c r="J67" s="865" t="str">
        <f>IFERROR(IF(F67="","",VLOOKUP(F67,'10. Condition and Temporal'!$B$6:$F$103,5,FALSE)), "Error ▲")</f>
        <v/>
      </c>
      <c r="K67" s="866"/>
      <c r="L67" s="287" t="str">
        <f t="shared" ref="L67:L85" si="45">IFERROR(IF(D67="","",IF(AX67="Distinctiveness",(((((I67*AH67*AJ67)-(I67*V67*X67))*(AV67*AT67))+(I67*V67*X67))*AP67/1000),((((I67*AH67*AJ67)-(I67*V67*X67))*(AV67*AR67))+(I67*V67*X67))*AP67/1000)),"This intervention is not permitted within the SSM ▲")</f>
        <v/>
      </c>
      <c r="M67" s="726" t="str">
        <f t="shared" ref="M67:M85" si="46">IFERROR(IF(F67="","",L67-AD67), "Error ▲")</f>
        <v/>
      </c>
      <c r="N67" s="867"/>
      <c r="O67" s="74"/>
      <c r="P67" s="12"/>
      <c r="R67" s="733"/>
      <c r="T67" s="181" t="str">
        <f t="shared" si="15"/>
        <v/>
      </c>
      <c r="U67" s="115" t="str">
        <f t="shared" ref="U67:U85" si="47">IF($D67="","",T12)</f>
        <v/>
      </c>
      <c r="V67" s="116" t="str">
        <f t="shared" si="16"/>
        <v/>
      </c>
      <c r="W67" s="115" t="str">
        <f t="shared" si="16"/>
        <v/>
      </c>
      <c r="X67" s="95" t="str">
        <f t="shared" si="16"/>
        <v/>
      </c>
      <c r="Y67" s="347"/>
      <c r="Z67" s="347"/>
      <c r="AA67" s="347"/>
      <c r="AB67" s="95" t="str">
        <f t="shared" si="17"/>
        <v/>
      </c>
      <c r="AC67" s="117" t="str">
        <f t="shared" si="18"/>
        <v/>
      </c>
      <c r="AD67" s="116" t="str">
        <f>IF(AC67="","",(T67*V67*X67)*AC67/1000)</f>
        <v/>
      </c>
      <c r="AE67" s="183" t="str">
        <f t="shared" ref="AE67:AE85" si="48">IF(AD67="","",IF(AH67&lt;V67,"Not Acceptable","Acceptable"))</f>
        <v/>
      </c>
      <c r="AF67" s="114" t="str">
        <f t="shared" si="19"/>
        <v/>
      </c>
      <c r="AG67" s="115" t="str">
        <f>IF(D67="","",VLOOKUP(F67,'9. All Habitats + Multipliers'!$C$4:$K$102,5,FALSE))</f>
        <v/>
      </c>
      <c r="AH67" s="116" t="str">
        <f>IF(AG67="","",VLOOKUP(AG67,'11. Lists'!$S$47:$U$50,2,FALSE))</f>
        <v/>
      </c>
      <c r="AI67" s="114" t="str">
        <f t="shared" si="20"/>
        <v/>
      </c>
      <c r="AJ67" s="93" t="str">
        <f>IF(AI67="","",VLOOKUP(AI67,'11. Lists'!$F$47:$G$51,2,FALSE))</f>
        <v/>
      </c>
      <c r="AK67" s="347"/>
      <c r="AL67" s="347"/>
      <c r="AM67" s="347"/>
      <c r="AN67" s="94" t="str">
        <f t="shared" si="21"/>
        <v/>
      </c>
      <c r="AO67" s="118" t="str">
        <f>IF(AN67="","",VLOOKUP(AN67,'11. Lists'!$F$36:$H$38,2,FALSE))</f>
        <v/>
      </c>
      <c r="AP67" s="116" t="str">
        <f>IF(AN67="","",VLOOKUP(AN67,'11. Lists'!$F$36:$H$38,3,FALSE))</f>
        <v/>
      </c>
      <c r="AQ67" s="115" t="str">
        <f>IF(D67="","",IF(AX67="Distinctiveness","N/A",VLOOKUP(F67,'10. Condition and Temporal'!$B$6:$L$103,11,FALSE)))</f>
        <v/>
      </c>
      <c r="AR67" s="119" t="str">
        <f>IF(AQ67="","",IF(AQ67="N/A","1",VLOOKUP(AQ67,'11. Lists'!$I$47:$K$80,3,FALSE)))</f>
        <v/>
      </c>
      <c r="AS67" s="135" t="str">
        <f>IF(D67="","",IF(AX67="Condition","N/A",VLOOKUP(F67,'10. Condition and Temporal'!$B$6:$M$106,12,FALSE)))</f>
        <v/>
      </c>
      <c r="AT67" s="119" t="str">
        <f>IF(AS67="","",IF(AS67="N/A","1",VLOOKUP(AS67,'11. Lists'!$I$47:$K$80,3,FALSE)))</f>
        <v/>
      </c>
      <c r="AU67" s="118" t="str">
        <f>IF(D67="","",VLOOKUP(F67,'9. All Habitats + Multipliers'!$C$4:$K$102,8,FALSE))</f>
        <v/>
      </c>
      <c r="AV67" s="116" t="str">
        <f>IF(AU67="","",VLOOKUP(AU67,'11. Lists'!$J$35:$K$38,2,FALSE))</f>
        <v/>
      </c>
      <c r="AW67" s="115" t="str">
        <f>IF(D67="","",VLOOKUP(D67,'10. Condition and Temporal'!$B$6:$M$103,4,FALSE))</f>
        <v/>
      </c>
      <c r="AX67" s="116" t="str">
        <f t="shared" si="22"/>
        <v/>
      </c>
      <c r="AZ67" s="210"/>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8" t="str">
        <f t="shared" ref="BV67:BV85" si="49">IF(BX67=0,"",CONCATENATE(BW67,"66:",BW67,BX67+65))</f>
        <v/>
      </c>
      <c r="BW67" s="95" t="s">
        <v>167</v>
      </c>
      <c r="BX67" s="95">
        <f>BC64</f>
        <v>0</v>
      </c>
    </row>
    <row r="68" spans="1:76" s="25" customFormat="1" ht="15.6">
      <c r="B68" s="268">
        <v>3</v>
      </c>
      <c r="C68" s="120" t="str">
        <f t="shared" si="12"/>
        <v/>
      </c>
      <c r="D68" s="212" t="str">
        <f t="shared" si="43"/>
        <v/>
      </c>
      <c r="E68" s="170" t="str">
        <f t="shared" si="13"/>
        <v/>
      </c>
      <c r="F68" s="818"/>
      <c r="G68" s="819"/>
      <c r="H68" s="167" t="str">
        <f t="shared" si="14"/>
        <v/>
      </c>
      <c r="I68" s="324" t="str">
        <f t="shared" si="44"/>
        <v/>
      </c>
      <c r="J68" s="865" t="str">
        <f>IFERROR(IF(F68="","",VLOOKUP(F68,'10. Condition and Temporal'!$B$6:$F$103,5,FALSE)), "Error ▲")</f>
        <v/>
      </c>
      <c r="K68" s="866"/>
      <c r="L68" s="287" t="str">
        <f t="shared" si="45"/>
        <v/>
      </c>
      <c r="M68" s="726" t="str">
        <f t="shared" si="46"/>
        <v/>
      </c>
      <c r="N68" s="867"/>
      <c r="O68" s="74"/>
      <c r="P68" s="12"/>
      <c r="R68" s="733"/>
      <c r="T68" s="181" t="str">
        <f t="shared" si="15"/>
        <v/>
      </c>
      <c r="U68" s="115" t="str">
        <f t="shared" si="47"/>
        <v/>
      </c>
      <c r="V68" s="116" t="str">
        <f t="shared" si="16"/>
        <v/>
      </c>
      <c r="W68" s="115" t="str">
        <f t="shared" si="16"/>
        <v/>
      </c>
      <c r="X68" s="95" t="str">
        <f t="shared" si="16"/>
        <v/>
      </c>
      <c r="Y68" s="347"/>
      <c r="Z68" s="347"/>
      <c r="AA68" s="347"/>
      <c r="AB68" s="95" t="str">
        <f t="shared" si="17"/>
        <v/>
      </c>
      <c r="AC68" s="117" t="str">
        <f t="shared" si="18"/>
        <v/>
      </c>
      <c r="AD68" s="116" t="str">
        <f t="shared" ref="AD68:AD85" si="50">IF(AC68="","",(T68*V68*X68)*AC68/1000)</f>
        <v/>
      </c>
      <c r="AE68" s="183" t="str">
        <f t="shared" si="48"/>
        <v/>
      </c>
      <c r="AF68" s="114" t="str">
        <f t="shared" si="19"/>
        <v/>
      </c>
      <c r="AG68" s="115" t="str">
        <f>IF(D68="","",VLOOKUP(F68,'9. All Habitats + Multipliers'!$C$4:$K$102,5,FALSE))</f>
        <v/>
      </c>
      <c r="AH68" s="116" t="str">
        <f>IF(AG68="","",VLOOKUP(AG68,'11. Lists'!$S$47:$U$50,2,FALSE))</f>
        <v/>
      </c>
      <c r="AI68" s="114" t="str">
        <f t="shared" si="20"/>
        <v/>
      </c>
      <c r="AJ68" s="93" t="str">
        <f>IF(AI68="","",VLOOKUP(AI68,'11. Lists'!$F$47:$G$51,2,FALSE))</f>
        <v/>
      </c>
      <c r="AK68" s="347"/>
      <c r="AL68" s="347"/>
      <c r="AM68" s="347"/>
      <c r="AN68" s="94" t="str">
        <f t="shared" si="21"/>
        <v/>
      </c>
      <c r="AO68" s="118" t="str">
        <f>IF(AN68="","",VLOOKUP(AN68,'11. Lists'!$F$36:$H$38,2,FALSE))</f>
        <v/>
      </c>
      <c r="AP68" s="116" t="str">
        <f>IF(AN68="","",VLOOKUP(AN68,'11. Lists'!$F$36:$H$38,3,FALSE))</f>
        <v/>
      </c>
      <c r="AQ68" s="115" t="str">
        <f>IF(D68="","",IF(AX68="Distinctiveness","N/A",VLOOKUP(F68,'10. Condition and Temporal'!$B$6:$L$103,11,FALSE)))</f>
        <v/>
      </c>
      <c r="AR68" s="119" t="str">
        <f>IF(AQ68="","",IF(AQ68="N/A","1",VLOOKUP(AQ68,'11. Lists'!$I$47:$K$80,3,FALSE)))</f>
        <v/>
      </c>
      <c r="AS68" s="135" t="str">
        <f>IF(D68="","",IF(AX68="Condition","N/A",VLOOKUP(F68,'10. Condition and Temporal'!$B$6:$M$106,12,FALSE)))</f>
        <v/>
      </c>
      <c r="AT68" s="119" t="str">
        <f>IF(AS68="","",IF(AS68="N/A","1",VLOOKUP(AS68,'11. Lists'!$I$47:$K$80,3,FALSE)))</f>
        <v/>
      </c>
      <c r="AU68" s="118" t="str">
        <f>IF(D68="","",VLOOKUP(F68,'9. All Habitats + Multipliers'!$C$4:$K$102,8,FALSE))</f>
        <v/>
      </c>
      <c r="AV68" s="116" t="str">
        <f>IF(AU68="","",VLOOKUP(AU68,'11. Lists'!$J$35:$K$38,2,FALSE))</f>
        <v/>
      </c>
      <c r="AW68" s="115" t="str">
        <f>IF(D68="","",VLOOKUP(D68,'10. Condition and Temporal'!$B$6:$M$103,4,FALSE))</f>
        <v/>
      </c>
      <c r="AX68" s="116" t="str">
        <f t="shared" si="22"/>
        <v/>
      </c>
      <c r="AZ68" s="210"/>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8" t="str">
        <f t="shared" si="49"/>
        <v/>
      </c>
      <c r="BW68" s="95" t="s">
        <v>168</v>
      </c>
      <c r="BX68" s="95">
        <f>BD64</f>
        <v>0</v>
      </c>
    </row>
    <row r="69" spans="1:76" s="25" customFormat="1" ht="15.6">
      <c r="B69" s="268">
        <v>4</v>
      </c>
      <c r="C69" s="120" t="str">
        <f t="shared" si="12"/>
        <v/>
      </c>
      <c r="D69" s="212" t="str">
        <f t="shared" si="43"/>
        <v/>
      </c>
      <c r="E69" s="170" t="str">
        <f t="shared" si="13"/>
        <v/>
      </c>
      <c r="F69" s="818"/>
      <c r="G69" s="819"/>
      <c r="H69" s="167" t="str">
        <f t="shared" si="14"/>
        <v/>
      </c>
      <c r="I69" s="324" t="str">
        <f t="shared" si="44"/>
        <v/>
      </c>
      <c r="J69" s="865" t="str">
        <f>IFERROR(IF(F69="","",VLOOKUP(F69,'10. Condition and Temporal'!$B$6:$F$103,5,FALSE)), "Error ▲")</f>
        <v/>
      </c>
      <c r="K69" s="866"/>
      <c r="L69" s="287" t="str">
        <f t="shared" si="45"/>
        <v/>
      </c>
      <c r="M69" s="726" t="str">
        <f t="shared" si="46"/>
        <v/>
      </c>
      <c r="N69" s="867"/>
      <c r="O69" s="74"/>
      <c r="P69" s="12"/>
      <c r="R69" s="733"/>
      <c r="T69" s="181" t="str">
        <f t="shared" si="15"/>
        <v/>
      </c>
      <c r="U69" s="115" t="str">
        <f t="shared" si="47"/>
        <v/>
      </c>
      <c r="V69" s="116" t="str">
        <f t="shared" si="16"/>
        <v/>
      </c>
      <c r="W69" s="115" t="str">
        <f t="shared" si="16"/>
        <v/>
      </c>
      <c r="X69" s="95" t="str">
        <f t="shared" si="16"/>
        <v/>
      </c>
      <c r="Y69" s="347"/>
      <c r="Z69" s="347"/>
      <c r="AA69" s="347"/>
      <c r="AB69" s="95" t="str">
        <f t="shared" si="17"/>
        <v/>
      </c>
      <c r="AC69" s="117" t="str">
        <f t="shared" si="18"/>
        <v/>
      </c>
      <c r="AD69" s="116" t="str">
        <f t="shared" si="50"/>
        <v/>
      </c>
      <c r="AE69" s="183" t="str">
        <f t="shared" si="48"/>
        <v/>
      </c>
      <c r="AF69" s="114" t="str">
        <f t="shared" si="19"/>
        <v/>
      </c>
      <c r="AG69" s="115" t="str">
        <f>IF(D69="","",VLOOKUP(F69,'9. All Habitats + Multipliers'!$C$4:$K$102,5,FALSE))</f>
        <v/>
      </c>
      <c r="AH69" s="116" t="str">
        <f>IF(AG69="","",VLOOKUP(AG69,'11. Lists'!$S$47:$U$50,2,FALSE))</f>
        <v/>
      </c>
      <c r="AI69" s="114" t="str">
        <f t="shared" si="20"/>
        <v/>
      </c>
      <c r="AJ69" s="93" t="str">
        <f>IF(AI69="","",VLOOKUP(AI69,'11. Lists'!$F$47:$G$51,2,FALSE))</f>
        <v/>
      </c>
      <c r="AK69" s="347"/>
      <c r="AL69" s="347"/>
      <c r="AM69" s="347"/>
      <c r="AN69" s="94" t="str">
        <f t="shared" si="21"/>
        <v/>
      </c>
      <c r="AO69" s="118" t="str">
        <f>IF(AN69="","",VLOOKUP(AN69,'11. Lists'!$F$36:$H$38,2,FALSE))</f>
        <v/>
      </c>
      <c r="AP69" s="116" t="str">
        <f>IF(AN69="","",VLOOKUP(AN69,'11. Lists'!$F$36:$H$38,3,FALSE))</f>
        <v/>
      </c>
      <c r="AQ69" s="115" t="str">
        <f>IF(D69="","",IF(AX69="Distinctiveness","N/A",VLOOKUP(F69,'10. Condition and Temporal'!$B$6:$L$103,11,FALSE)))</f>
        <v/>
      </c>
      <c r="AR69" s="119" t="str">
        <f>IF(AQ69="","",IF(AQ69="N/A","1",VLOOKUP(AQ69,'11. Lists'!$I$47:$K$80,3,FALSE)))</f>
        <v/>
      </c>
      <c r="AS69" s="135" t="str">
        <f>IF(D69="","",IF(AX69="Condition","N/A",VLOOKUP(F69,'10. Condition and Temporal'!$B$6:$M$106,12,FALSE)))</f>
        <v/>
      </c>
      <c r="AT69" s="119" t="str">
        <f>IF(AS69="","",IF(AS69="N/A","1",VLOOKUP(AS69,'11. Lists'!$I$47:$K$80,3,FALSE)))</f>
        <v/>
      </c>
      <c r="AU69" s="118" t="str">
        <f>IF(D69="","",VLOOKUP(F69,'9. All Habitats + Multipliers'!$C$4:$K$102,8,FALSE))</f>
        <v/>
      </c>
      <c r="AV69" s="116" t="str">
        <f>IF(AU69="","",VLOOKUP(AU69,'11. Lists'!$J$35:$K$38,2,FALSE))</f>
        <v/>
      </c>
      <c r="AW69" s="115" t="str">
        <f>IF(D69="","",VLOOKUP(D69,'10. Condition and Temporal'!$B$6:$M$103,4,FALSE))</f>
        <v/>
      </c>
      <c r="AX69" s="116" t="str">
        <f t="shared" si="22"/>
        <v/>
      </c>
      <c r="AZ69" s="210"/>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8" t="str">
        <f t="shared" si="49"/>
        <v/>
      </c>
      <c r="BW69" s="95" t="s">
        <v>169</v>
      </c>
      <c r="BX69" s="95">
        <f>BE64</f>
        <v>0</v>
      </c>
    </row>
    <row r="70" spans="1:76" s="25" customFormat="1" ht="15.6">
      <c r="B70" s="268">
        <v>5</v>
      </c>
      <c r="C70" s="120" t="str">
        <f t="shared" si="12"/>
        <v/>
      </c>
      <c r="D70" s="212" t="str">
        <f t="shared" si="43"/>
        <v/>
      </c>
      <c r="E70" s="170" t="str">
        <f t="shared" si="13"/>
        <v/>
      </c>
      <c r="F70" s="818"/>
      <c r="G70" s="819"/>
      <c r="H70" s="167" t="str">
        <f t="shared" si="14"/>
        <v/>
      </c>
      <c r="I70" s="324" t="str">
        <f t="shared" si="44"/>
        <v/>
      </c>
      <c r="J70" s="865" t="str">
        <f>IFERROR(IF(F70="","",VLOOKUP(F70,'10. Condition and Temporal'!$B$6:$F$103,5,FALSE)), "Error ▲")</f>
        <v/>
      </c>
      <c r="K70" s="866"/>
      <c r="L70" s="287" t="str">
        <f t="shared" si="45"/>
        <v/>
      </c>
      <c r="M70" s="726" t="str">
        <f t="shared" si="46"/>
        <v/>
      </c>
      <c r="N70" s="867"/>
      <c r="O70" s="74"/>
      <c r="P70" s="12"/>
      <c r="R70" s="733"/>
      <c r="T70" s="181" t="str">
        <f t="shared" si="15"/>
        <v/>
      </c>
      <c r="U70" s="115" t="str">
        <f t="shared" si="47"/>
        <v/>
      </c>
      <c r="V70" s="116" t="str">
        <f t="shared" si="16"/>
        <v/>
      </c>
      <c r="W70" s="115" t="str">
        <f t="shared" si="16"/>
        <v/>
      </c>
      <c r="X70" s="95" t="str">
        <f t="shared" si="16"/>
        <v/>
      </c>
      <c r="Y70" s="347"/>
      <c r="Z70" s="347"/>
      <c r="AA70" s="347"/>
      <c r="AB70" s="95" t="str">
        <f t="shared" si="17"/>
        <v/>
      </c>
      <c r="AC70" s="117" t="str">
        <f t="shared" si="18"/>
        <v/>
      </c>
      <c r="AD70" s="116" t="str">
        <f t="shared" si="50"/>
        <v/>
      </c>
      <c r="AE70" s="183" t="str">
        <f t="shared" si="48"/>
        <v/>
      </c>
      <c r="AF70" s="114" t="str">
        <f t="shared" si="19"/>
        <v/>
      </c>
      <c r="AG70" s="115" t="str">
        <f>IF(D70="","",VLOOKUP(F70,'9. All Habitats + Multipliers'!$C$4:$K$102,5,FALSE))</f>
        <v/>
      </c>
      <c r="AH70" s="116" t="str">
        <f>IF(AG70="","",VLOOKUP(AG70,'11. Lists'!$S$47:$U$50,2,FALSE))</f>
        <v/>
      </c>
      <c r="AI70" s="114" t="str">
        <f t="shared" si="20"/>
        <v/>
      </c>
      <c r="AJ70" s="93" t="str">
        <f>IF(AI70="","",VLOOKUP(AI70,'11. Lists'!$F$47:$G$51,2,FALSE))</f>
        <v/>
      </c>
      <c r="AK70" s="347"/>
      <c r="AL70" s="347"/>
      <c r="AM70" s="347"/>
      <c r="AN70" s="94" t="str">
        <f t="shared" si="21"/>
        <v/>
      </c>
      <c r="AO70" s="118" t="str">
        <f>IF(AN70="","",VLOOKUP(AN70,'11. Lists'!$F$36:$H$38,2,FALSE))</f>
        <v/>
      </c>
      <c r="AP70" s="116" t="str">
        <f>IF(AN70="","",VLOOKUP(AN70,'11. Lists'!$F$36:$H$38,3,FALSE))</f>
        <v/>
      </c>
      <c r="AQ70" s="115" t="str">
        <f>IF(D70="","",IF(AX70="Distinctiveness","N/A",VLOOKUP(F70,'10. Condition and Temporal'!$B$6:$L$103,11,FALSE)))</f>
        <v/>
      </c>
      <c r="AR70" s="119" t="str">
        <f>IF(AQ70="","",IF(AQ70="N/A","1",VLOOKUP(AQ70,'11. Lists'!$I$47:$K$80,3,FALSE)))</f>
        <v/>
      </c>
      <c r="AS70" s="135" t="str">
        <f>IF(D70="","",IF(AX70="Condition","N/A",VLOOKUP(F70,'10. Condition and Temporal'!$B$6:$M$106,12,FALSE)))</f>
        <v/>
      </c>
      <c r="AT70" s="119" t="str">
        <f>IF(AS70="","",IF(AS70="N/A","1",VLOOKUP(AS70,'11. Lists'!$I$47:$K$80,3,FALSE)))</f>
        <v/>
      </c>
      <c r="AU70" s="118" t="str">
        <f>IF(D70="","",VLOOKUP(F70,'9. All Habitats + Multipliers'!$C$4:$K$102,8,FALSE))</f>
        <v/>
      </c>
      <c r="AV70" s="116" t="str">
        <f>IF(AU70="","",VLOOKUP(AU70,'11. Lists'!$J$35:$K$38,2,FALSE))</f>
        <v/>
      </c>
      <c r="AW70" s="115" t="str">
        <f>IF(D70="","",VLOOKUP(D70,'10. Condition and Temporal'!$B$6:$M$103,4,FALSE))</f>
        <v/>
      </c>
      <c r="AX70" s="116" t="str">
        <f t="shared" si="22"/>
        <v/>
      </c>
      <c r="AZ70" s="210"/>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8" t="str">
        <f t="shared" si="49"/>
        <v/>
      </c>
      <c r="BW70" s="95" t="s">
        <v>170</v>
      </c>
      <c r="BX70" s="95">
        <f>BF64</f>
        <v>0</v>
      </c>
    </row>
    <row r="71" spans="1:76" s="25" customFormat="1" ht="15.6">
      <c r="B71" s="268">
        <v>6</v>
      </c>
      <c r="C71" s="120" t="str">
        <f t="shared" si="12"/>
        <v/>
      </c>
      <c r="D71" s="212" t="str">
        <f t="shared" si="43"/>
        <v/>
      </c>
      <c r="E71" s="170" t="str">
        <f t="shared" si="13"/>
        <v/>
      </c>
      <c r="F71" s="818"/>
      <c r="G71" s="819"/>
      <c r="H71" s="167" t="str">
        <f t="shared" si="14"/>
        <v/>
      </c>
      <c r="I71" s="324" t="str">
        <f t="shared" si="44"/>
        <v/>
      </c>
      <c r="J71" s="865" t="str">
        <f>IFERROR(IF(F71="","",VLOOKUP(F71,'10. Condition and Temporal'!$B$6:$F$103,5,FALSE)), "Error ▲")</f>
        <v/>
      </c>
      <c r="K71" s="866"/>
      <c r="L71" s="287" t="str">
        <f t="shared" si="45"/>
        <v/>
      </c>
      <c r="M71" s="726" t="str">
        <f t="shared" si="46"/>
        <v/>
      </c>
      <c r="N71" s="867"/>
      <c r="O71" s="74"/>
      <c r="P71" s="12"/>
      <c r="R71" s="733"/>
      <c r="T71" s="181" t="str">
        <f t="shared" si="15"/>
        <v/>
      </c>
      <c r="U71" s="115" t="str">
        <f t="shared" si="47"/>
        <v/>
      </c>
      <c r="V71" s="116" t="str">
        <f t="shared" si="16"/>
        <v/>
      </c>
      <c r="W71" s="115" t="str">
        <f t="shared" si="16"/>
        <v/>
      </c>
      <c r="X71" s="95" t="str">
        <f t="shared" si="16"/>
        <v/>
      </c>
      <c r="Y71" s="347"/>
      <c r="Z71" s="347"/>
      <c r="AA71" s="347"/>
      <c r="AB71" s="95" t="str">
        <f t="shared" si="17"/>
        <v/>
      </c>
      <c r="AC71" s="117" t="str">
        <f t="shared" si="18"/>
        <v/>
      </c>
      <c r="AD71" s="116" t="str">
        <f t="shared" si="50"/>
        <v/>
      </c>
      <c r="AE71" s="183" t="str">
        <f t="shared" si="48"/>
        <v/>
      </c>
      <c r="AF71" s="114" t="str">
        <f t="shared" si="19"/>
        <v/>
      </c>
      <c r="AG71" s="115" t="str">
        <f>IF(D71="","",VLOOKUP(F71,'9. All Habitats + Multipliers'!$C$4:$K$102,5,FALSE))</f>
        <v/>
      </c>
      <c r="AH71" s="116" t="str">
        <f>IF(AG71="","",VLOOKUP(AG71,'11. Lists'!$S$47:$U$50,2,FALSE))</f>
        <v/>
      </c>
      <c r="AI71" s="114" t="str">
        <f t="shared" si="20"/>
        <v/>
      </c>
      <c r="AJ71" s="93" t="str">
        <f>IF(AI71="","",VLOOKUP(AI71,'11. Lists'!$F$47:$G$51,2,FALSE))</f>
        <v/>
      </c>
      <c r="AK71" s="347"/>
      <c r="AL71" s="347"/>
      <c r="AM71" s="347"/>
      <c r="AN71" s="94" t="str">
        <f t="shared" si="21"/>
        <v/>
      </c>
      <c r="AO71" s="118" t="str">
        <f>IF(AN71="","",VLOOKUP(AN71,'11. Lists'!$F$36:$H$38,2,FALSE))</f>
        <v/>
      </c>
      <c r="AP71" s="116" t="str">
        <f>IF(AN71="","",VLOOKUP(AN71,'11. Lists'!$F$36:$H$38,3,FALSE))</f>
        <v/>
      </c>
      <c r="AQ71" s="115" t="str">
        <f>IF(D71="","",IF(AX71="Distinctiveness","N/A",VLOOKUP(F71,'10. Condition and Temporal'!$B$6:$L$103,11,FALSE)))</f>
        <v/>
      </c>
      <c r="AR71" s="119" t="str">
        <f>IF(AQ71="","",IF(AQ71="N/A","1",VLOOKUP(AQ71,'11. Lists'!$I$47:$K$80,3,FALSE)))</f>
        <v/>
      </c>
      <c r="AS71" s="135" t="str">
        <f>IF(D71="","",IF(AX71="Condition","N/A",VLOOKUP(F71,'10. Condition and Temporal'!$B$6:$M$106,12,FALSE)))</f>
        <v/>
      </c>
      <c r="AT71" s="119" t="str">
        <f>IF(AS71="","",IF(AS71="N/A","1",VLOOKUP(AS71,'11. Lists'!$I$47:$K$80,3,FALSE)))</f>
        <v/>
      </c>
      <c r="AU71" s="118" t="str">
        <f>IF(D71="","",VLOOKUP(F71,'9. All Habitats + Multipliers'!$C$4:$K$102,8,FALSE))</f>
        <v/>
      </c>
      <c r="AV71" s="116" t="str">
        <f>IF(AU71="","",VLOOKUP(AU71,'11. Lists'!$J$35:$K$38,2,FALSE))</f>
        <v/>
      </c>
      <c r="AW71" s="115" t="str">
        <f>IF(D71="","",VLOOKUP(D71,'10. Condition and Temporal'!$B$6:$M$103,4,FALSE))</f>
        <v/>
      </c>
      <c r="AX71" s="116" t="str">
        <f t="shared" si="22"/>
        <v/>
      </c>
      <c r="AZ71" s="210"/>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8" t="str">
        <f t="shared" si="49"/>
        <v/>
      </c>
      <c r="BW71" s="95" t="s">
        <v>171</v>
      </c>
      <c r="BX71" s="95">
        <f>BG64</f>
        <v>0</v>
      </c>
    </row>
    <row r="72" spans="1:76" s="25" customFormat="1" ht="15.6">
      <c r="B72" s="268">
        <v>7</v>
      </c>
      <c r="C72" s="120" t="str">
        <f t="shared" si="12"/>
        <v/>
      </c>
      <c r="D72" s="212" t="str">
        <f t="shared" si="43"/>
        <v/>
      </c>
      <c r="E72" s="170" t="str">
        <f t="shared" si="13"/>
        <v/>
      </c>
      <c r="F72" s="818"/>
      <c r="G72" s="819"/>
      <c r="H72" s="167" t="str">
        <f t="shared" si="14"/>
        <v/>
      </c>
      <c r="I72" s="324" t="str">
        <f t="shared" si="44"/>
        <v/>
      </c>
      <c r="J72" s="865" t="str">
        <f>IFERROR(IF(F72="","",VLOOKUP(F72,'10. Condition and Temporal'!$B$6:$F$103,5,FALSE)), "Error ▲")</f>
        <v/>
      </c>
      <c r="K72" s="866"/>
      <c r="L72" s="287" t="str">
        <f t="shared" si="45"/>
        <v/>
      </c>
      <c r="M72" s="726" t="str">
        <f t="shared" si="46"/>
        <v/>
      </c>
      <c r="N72" s="867"/>
      <c r="O72" s="74"/>
      <c r="P72" s="12"/>
      <c r="R72" s="733"/>
      <c r="T72" s="181" t="str">
        <f t="shared" si="15"/>
        <v/>
      </c>
      <c r="U72" s="115" t="str">
        <f t="shared" si="47"/>
        <v/>
      </c>
      <c r="V72" s="116" t="str">
        <f t="shared" si="16"/>
        <v/>
      </c>
      <c r="W72" s="115" t="str">
        <f t="shared" si="16"/>
        <v/>
      </c>
      <c r="X72" s="95" t="str">
        <f t="shared" si="16"/>
        <v/>
      </c>
      <c r="Y72" s="347"/>
      <c r="Z72" s="347"/>
      <c r="AA72" s="347"/>
      <c r="AB72" s="95" t="str">
        <f t="shared" si="17"/>
        <v/>
      </c>
      <c r="AC72" s="117" t="str">
        <f t="shared" si="18"/>
        <v/>
      </c>
      <c r="AD72" s="116" t="str">
        <f t="shared" si="50"/>
        <v/>
      </c>
      <c r="AE72" s="183" t="str">
        <f t="shared" si="48"/>
        <v/>
      </c>
      <c r="AF72" s="114" t="str">
        <f t="shared" si="19"/>
        <v/>
      </c>
      <c r="AG72" s="115" t="str">
        <f>IF(D72="","",VLOOKUP(F72,'9. All Habitats + Multipliers'!$C$4:$K$102,5,FALSE))</f>
        <v/>
      </c>
      <c r="AH72" s="116" t="str">
        <f>IF(AG72="","",VLOOKUP(AG72,'11. Lists'!$S$47:$U$50,2,FALSE))</f>
        <v/>
      </c>
      <c r="AI72" s="114" t="str">
        <f t="shared" si="20"/>
        <v/>
      </c>
      <c r="AJ72" s="93" t="str">
        <f>IF(AI72="","",VLOOKUP(AI72,'11. Lists'!$F$47:$G$51,2,FALSE))</f>
        <v/>
      </c>
      <c r="AK72" s="347"/>
      <c r="AL72" s="347"/>
      <c r="AM72" s="347"/>
      <c r="AN72" s="94" t="str">
        <f t="shared" si="21"/>
        <v/>
      </c>
      <c r="AO72" s="118" t="str">
        <f>IF(AN72="","",VLOOKUP(AN72,'11. Lists'!$F$36:$H$38,2,FALSE))</f>
        <v/>
      </c>
      <c r="AP72" s="116" t="str">
        <f>IF(AN72="","",VLOOKUP(AN72,'11. Lists'!$F$36:$H$38,3,FALSE))</f>
        <v/>
      </c>
      <c r="AQ72" s="115" t="str">
        <f>IF(D72="","",IF(AX72="Distinctiveness","N/A",VLOOKUP(F72,'10. Condition and Temporal'!$B$6:$L$103,11,FALSE)))</f>
        <v/>
      </c>
      <c r="AR72" s="119" t="str">
        <f>IF(AQ72="","",IF(AQ72="N/A","1",VLOOKUP(AQ72,'11. Lists'!$I$47:$K$80,3,FALSE)))</f>
        <v/>
      </c>
      <c r="AS72" s="135" t="str">
        <f>IF(D72="","",IF(AX72="Condition","N/A",VLOOKUP(F72,'10. Condition and Temporal'!$B$6:$M$106,12,FALSE)))</f>
        <v/>
      </c>
      <c r="AT72" s="119" t="str">
        <f>IF(AS72="","",IF(AS72="N/A","1",VLOOKUP(AS72,'11. Lists'!$I$47:$K$80,3,FALSE)))</f>
        <v/>
      </c>
      <c r="AU72" s="118" t="str">
        <f>IF(D72="","",VLOOKUP(F72,'9. All Habitats + Multipliers'!$C$4:$K$102,8,FALSE))</f>
        <v/>
      </c>
      <c r="AV72" s="116" t="str">
        <f>IF(AU72="","",VLOOKUP(AU72,'11. Lists'!$J$35:$K$38,2,FALSE))</f>
        <v/>
      </c>
      <c r="AW72" s="115" t="str">
        <f>IF(D72="","",VLOOKUP(D72,'10. Condition and Temporal'!$B$6:$M$103,4,FALSE))</f>
        <v/>
      </c>
      <c r="AX72" s="116" t="str">
        <f t="shared" si="22"/>
        <v/>
      </c>
      <c r="AZ72" s="210"/>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8" t="str">
        <f t="shared" si="49"/>
        <v/>
      </c>
      <c r="BW72" s="95" t="s">
        <v>172</v>
      </c>
      <c r="BX72" s="95">
        <f>BH64</f>
        <v>0</v>
      </c>
    </row>
    <row r="73" spans="1:76" s="25" customFormat="1" ht="15.6">
      <c r="B73" s="268">
        <v>8</v>
      </c>
      <c r="C73" s="120" t="str">
        <f t="shared" si="12"/>
        <v/>
      </c>
      <c r="D73" s="212" t="str">
        <f t="shared" si="43"/>
        <v/>
      </c>
      <c r="E73" s="170" t="str">
        <f t="shared" si="13"/>
        <v/>
      </c>
      <c r="F73" s="818"/>
      <c r="G73" s="819"/>
      <c r="H73" s="167" t="str">
        <f t="shared" si="14"/>
        <v/>
      </c>
      <c r="I73" s="324" t="str">
        <f t="shared" si="44"/>
        <v/>
      </c>
      <c r="J73" s="865" t="str">
        <f>IFERROR(IF(F73="","",VLOOKUP(F73,'10. Condition and Temporal'!$B$6:$F$103,5,FALSE)), "Error ▲")</f>
        <v/>
      </c>
      <c r="K73" s="866"/>
      <c r="L73" s="287" t="str">
        <f t="shared" si="45"/>
        <v/>
      </c>
      <c r="M73" s="726" t="str">
        <f t="shared" si="46"/>
        <v/>
      </c>
      <c r="N73" s="867"/>
      <c r="O73" s="74"/>
      <c r="P73" s="12"/>
      <c r="R73" s="733"/>
      <c r="T73" s="181" t="str">
        <f t="shared" si="15"/>
        <v/>
      </c>
      <c r="U73" s="115" t="str">
        <f t="shared" si="47"/>
        <v/>
      </c>
      <c r="V73" s="116" t="str">
        <f t="shared" si="16"/>
        <v/>
      </c>
      <c r="W73" s="115" t="str">
        <f t="shared" si="16"/>
        <v/>
      </c>
      <c r="X73" s="95" t="str">
        <f t="shared" si="16"/>
        <v/>
      </c>
      <c r="Y73" s="347"/>
      <c r="Z73" s="347"/>
      <c r="AA73" s="347"/>
      <c r="AB73" s="95" t="str">
        <f t="shared" si="17"/>
        <v/>
      </c>
      <c r="AC73" s="117" t="str">
        <f t="shared" si="18"/>
        <v/>
      </c>
      <c r="AD73" s="116" t="str">
        <f t="shared" si="50"/>
        <v/>
      </c>
      <c r="AE73" s="183" t="str">
        <f t="shared" si="48"/>
        <v/>
      </c>
      <c r="AF73" s="114" t="str">
        <f t="shared" si="19"/>
        <v/>
      </c>
      <c r="AG73" s="115" t="str">
        <f>IF(D73="","",VLOOKUP(F73,'9. All Habitats + Multipliers'!$C$4:$K$102,5,FALSE))</f>
        <v/>
      </c>
      <c r="AH73" s="116" t="str">
        <f>IF(AG73="","",VLOOKUP(AG73,'11. Lists'!$S$47:$U$50,2,FALSE))</f>
        <v/>
      </c>
      <c r="AI73" s="114" t="str">
        <f t="shared" si="20"/>
        <v/>
      </c>
      <c r="AJ73" s="93" t="str">
        <f>IF(AI73="","",VLOOKUP(AI73,'11. Lists'!$F$47:$G$51,2,FALSE))</f>
        <v/>
      </c>
      <c r="AK73" s="347"/>
      <c r="AL73" s="347"/>
      <c r="AM73" s="347"/>
      <c r="AN73" s="94" t="str">
        <f t="shared" si="21"/>
        <v/>
      </c>
      <c r="AO73" s="118" t="str">
        <f>IF(AN73="","",VLOOKUP(AN73,'11. Lists'!$F$36:$H$38,2,FALSE))</f>
        <v/>
      </c>
      <c r="AP73" s="116" t="str">
        <f>IF(AN73="","",VLOOKUP(AN73,'11. Lists'!$F$36:$H$38,3,FALSE))</f>
        <v/>
      </c>
      <c r="AQ73" s="115" t="str">
        <f>IF(D73="","",IF(AX73="Distinctiveness","N/A",VLOOKUP(F73,'10. Condition and Temporal'!$B$6:$L$103,11,FALSE)))</f>
        <v/>
      </c>
      <c r="AR73" s="119" t="str">
        <f>IF(AQ73="","",IF(AQ73="N/A","1",VLOOKUP(AQ73,'11. Lists'!$I$47:$K$80,3,FALSE)))</f>
        <v/>
      </c>
      <c r="AS73" s="135" t="str">
        <f>IF(D73="","",IF(AX73="Condition","N/A",VLOOKUP(F73,'10. Condition and Temporal'!$B$6:$M$106,12,FALSE)))</f>
        <v/>
      </c>
      <c r="AT73" s="119" t="str">
        <f>IF(AS73="","",IF(AS73="N/A","1",VLOOKUP(AS73,'11. Lists'!$I$47:$K$80,3,FALSE)))</f>
        <v/>
      </c>
      <c r="AU73" s="118" t="str">
        <f>IF(D73="","",VLOOKUP(F73,'9. All Habitats + Multipliers'!$C$4:$K$102,8,FALSE))</f>
        <v/>
      </c>
      <c r="AV73" s="116" t="str">
        <f>IF(AU73="","",VLOOKUP(AU73,'11. Lists'!$J$35:$K$38,2,FALSE))</f>
        <v/>
      </c>
      <c r="AW73" s="115" t="str">
        <f>IF(D73="","",VLOOKUP(D73,'10. Condition and Temporal'!$B$6:$M$103,4,FALSE))</f>
        <v/>
      </c>
      <c r="AX73" s="116" t="str">
        <f t="shared" si="22"/>
        <v/>
      </c>
      <c r="AZ73" s="210"/>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8" t="str">
        <f t="shared" si="49"/>
        <v/>
      </c>
      <c r="BW73" s="95" t="s">
        <v>173</v>
      </c>
      <c r="BX73" s="95">
        <f>BI64</f>
        <v>0</v>
      </c>
    </row>
    <row r="74" spans="1:76" s="25" customFormat="1" ht="15.6">
      <c r="B74" s="268">
        <v>9</v>
      </c>
      <c r="C74" s="120" t="str">
        <f t="shared" si="12"/>
        <v/>
      </c>
      <c r="D74" s="212" t="str">
        <f t="shared" si="43"/>
        <v/>
      </c>
      <c r="E74" s="170" t="str">
        <f t="shared" si="13"/>
        <v/>
      </c>
      <c r="F74" s="818"/>
      <c r="G74" s="819"/>
      <c r="H74" s="167" t="str">
        <f t="shared" si="14"/>
        <v/>
      </c>
      <c r="I74" s="324" t="str">
        <f t="shared" si="44"/>
        <v/>
      </c>
      <c r="J74" s="865" t="str">
        <f>IFERROR(IF(F74="","",VLOOKUP(F74,'10. Condition and Temporal'!$B$6:$F$103,5,FALSE)), "Error ▲")</f>
        <v/>
      </c>
      <c r="K74" s="866"/>
      <c r="L74" s="287" t="str">
        <f t="shared" si="45"/>
        <v/>
      </c>
      <c r="M74" s="726" t="str">
        <f t="shared" si="46"/>
        <v/>
      </c>
      <c r="N74" s="867"/>
      <c r="O74" s="74"/>
      <c r="P74" s="12"/>
      <c r="R74" s="733"/>
      <c r="T74" s="181" t="str">
        <f t="shared" si="15"/>
        <v/>
      </c>
      <c r="U74" s="115" t="str">
        <f t="shared" si="47"/>
        <v/>
      </c>
      <c r="V74" s="116" t="str">
        <f t="shared" si="16"/>
        <v/>
      </c>
      <c r="W74" s="115" t="str">
        <f t="shared" si="16"/>
        <v/>
      </c>
      <c r="X74" s="95" t="str">
        <f t="shared" si="16"/>
        <v/>
      </c>
      <c r="Y74" s="347"/>
      <c r="Z74" s="347"/>
      <c r="AA74" s="347"/>
      <c r="AB74" s="95" t="str">
        <f t="shared" si="17"/>
        <v/>
      </c>
      <c r="AC74" s="117" t="str">
        <f t="shared" si="18"/>
        <v/>
      </c>
      <c r="AD74" s="116" t="str">
        <f t="shared" si="50"/>
        <v/>
      </c>
      <c r="AE74" s="183" t="str">
        <f t="shared" si="48"/>
        <v/>
      </c>
      <c r="AF74" s="114" t="str">
        <f t="shared" si="19"/>
        <v/>
      </c>
      <c r="AG74" s="115" t="str">
        <f>IF(D74="","",VLOOKUP(F74,'9. All Habitats + Multipliers'!$C$4:$K$102,5,FALSE))</f>
        <v/>
      </c>
      <c r="AH74" s="116" t="str">
        <f>IF(AG74="","",VLOOKUP(AG74,'11. Lists'!$S$47:$U$50,2,FALSE))</f>
        <v/>
      </c>
      <c r="AI74" s="114" t="str">
        <f t="shared" si="20"/>
        <v/>
      </c>
      <c r="AJ74" s="93" t="str">
        <f>IF(AI74="","",VLOOKUP(AI74,'11. Lists'!$F$47:$G$51,2,FALSE))</f>
        <v/>
      </c>
      <c r="AK74" s="347"/>
      <c r="AL74" s="347"/>
      <c r="AM74" s="347"/>
      <c r="AN74" s="94" t="str">
        <f t="shared" si="21"/>
        <v/>
      </c>
      <c r="AO74" s="118" t="str">
        <f>IF(AN74="","",VLOOKUP(AN74,'11. Lists'!$F$36:$H$38,2,FALSE))</f>
        <v/>
      </c>
      <c r="AP74" s="116" t="str">
        <f>IF(AN74="","",VLOOKUP(AN74,'11. Lists'!$F$36:$H$38,3,FALSE))</f>
        <v/>
      </c>
      <c r="AQ74" s="115" t="str">
        <f>IF(D74="","",IF(AX74="Distinctiveness","N/A",VLOOKUP(F74,'10. Condition and Temporal'!$B$6:$L$103,11,FALSE)))</f>
        <v/>
      </c>
      <c r="AR74" s="119" t="str">
        <f>IF(AQ74="","",IF(AQ74="N/A","1",VLOOKUP(AQ74,'11. Lists'!$I$47:$K$80,3,FALSE)))</f>
        <v/>
      </c>
      <c r="AS74" s="135" t="str">
        <f>IF(D74="","",IF(AX74="Condition","N/A",VLOOKUP(F74,'10. Condition and Temporal'!$B$6:$M$106,12,FALSE)))</f>
        <v/>
      </c>
      <c r="AT74" s="119" t="str">
        <f>IF(AS74="","",IF(AS74="N/A","1",VLOOKUP(AS74,'11. Lists'!$I$47:$K$80,3,FALSE)))</f>
        <v/>
      </c>
      <c r="AU74" s="118" t="str">
        <f>IF(D74="","",VLOOKUP(F74,'9. All Habitats + Multipliers'!$C$4:$K$102,8,FALSE))</f>
        <v/>
      </c>
      <c r="AV74" s="116" t="str">
        <f>IF(AU74="","",VLOOKUP(AU74,'11. Lists'!$J$35:$K$38,2,FALSE))</f>
        <v/>
      </c>
      <c r="AW74" s="115" t="str">
        <f>IF(D74="","",VLOOKUP(D74,'10. Condition and Temporal'!$B$6:$M$103,4,FALSE))</f>
        <v/>
      </c>
      <c r="AX74" s="116" t="str">
        <f t="shared" si="22"/>
        <v/>
      </c>
      <c r="AZ74" s="210"/>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8" t="str">
        <f t="shared" si="49"/>
        <v/>
      </c>
      <c r="BW74" s="95" t="s">
        <v>174</v>
      </c>
      <c r="BX74" s="95">
        <f>BJ64</f>
        <v>0</v>
      </c>
    </row>
    <row r="75" spans="1:76" s="25" customFormat="1" ht="15.6">
      <c r="B75" s="268">
        <v>10</v>
      </c>
      <c r="C75" s="120" t="str">
        <f t="shared" si="12"/>
        <v/>
      </c>
      <c r="D75" s="212" t="str">
        <f t="shared" si="43"/>
        <v/>
      </c>
      <c r="E75" s="170" t="str">
        <f t="shared" si="13"/>
        <v/>
      </c>
      <c r="F75" s="818"/>
      <c r="G75" s="819"/>
      <c r="H75" s="167" t="str">
        <f t="shared" si="14"/>
        <v/>
      </c>
      <c r="I75" s="324" t="str">
        <f t="shared" si="44"/>
        <v/>
      </c>
      <c r="J75" s="865" t="str">
        <f>IFERROR(IF(F75="","",VLOOKUP(F75,'10. Condition and Temporal'!$B$6:$F$103,5,FALSE)), "Error ▲")</f>
        <v/>
      </c>
      <c r="K75" s="866"/>
      <c r="L75" s="287" t="str">
        <f t="shared" si="45"/>
        <v/>
      </c>
      <c r="M75" s="726" t="str">
        <f t="shared" si="46"/>
        <v/>
      </c>
      <c r="N75" s="867"/>
      <c r="O75" s="74"/>
      <c r="P75" s="12"/>
      <c r="R75" s="733"/>
      <c r="T75" s="181" t="str">
        <f t="shared" si="15"/>
        <v/>
      </c>
      <c r="U75" s="115" t="str">
        <f t="shared" si="47"/>
        <v/>
      </c>
      <c r="V75" s="116" t="str">
        <f t="shared" si="16"/>
        <v/>
      </c>
      <c r="W75" s="115" t="str">
        <f t="shared" si="16"/>
        <v/>
      </c>
      <c r="X75" s="95" t="str">
        <f t="shared" si="16"/>
        <v/>
      </c>
      <c r="Y75" s="347"/>
      <c r="Z75" s="347"/>
      <c r="AA75" s="347"/>
      <c r="AB75" s="95" t="str">
        <f t="shared" si="17"/>
        <v/>
      </c>
      <c r="AC75" s="117" t="str">
        <f t="shared" si="18"/>
        <v/>
      </c>
      <c r="AD75" s="116" t="str">
        <f t="shared" si="50"/>
        <v/>
      </c>
      <c r="AE75" s="183" t="str">
        <f t="shared" si="48"/>
        <v/>
      </c>
      <c r="AF75" s="114" t="str">
        <f t="shared" si="19"/>
        <v/>
      </c>
      <c r="AG75" s="115" t="str">
        <f>IF(D75="","",VLOOKUP(F75,'9. All Habitats + Multipliers'!$C$4:$K$102,5,FALSE))</f>
        <v/>
      </c>
      <c r="AH75" s="116" t="str">
        <f>IF(AG75="","",VLOOKUP(AG75,'11. Lists'!$S$47:$U$50,2,FALSE))</f>
        <v/>
      </c>
      <c r="AI75" s="114" t="str">
        <f t="shared" si="20"/>
        <v/>
      </c>
      <c r="AJ75" s="93" t="str">
        <f>IF(AI75="","",VLOOKUP(AI75,'11. Lists'!$F$47:$G$51,2,FALSE))</f>
        <v/>
      </c>
      <c r="AK75" s="347"/>
      <c r="AL75" s="347"/>
      <c r="AM75" s="347"/>
      <c r="AN75" s="94" t="str">
        <f t="shared" si="21"/>
        <v/>
      </c>
      <c r="AO75" s="118" t="str">
        <f>IF(AN75="","",VLOOKUP(AN75,'11. Lists'!$F$36:$H$38,2,FALSE))</f>
        <v/>
      </c>
      <c r="AP75" s="116" t="str">
        <f>IF(AN75="","",VLOOKUP(AN75,'11. Lists'!$F$36:$H$38,3,FALSE))</f>
        <v/>
      </c>
      <c r="AQ75" s="115" t="str">
        <f>IF(D75="","",IF(AX75="Distinctiveness","N/A",VLOOKUP(F75,'10. Condition and Temporal'!$B$6:$L$103,11,FALSE)))</f>
        <v/>
      </c>
      <c r="AR75" s="119" t="str">
        <f>IF(AQ75="","",IF(AQ75="N/A","1",VLOOKUP(AQ75,'11. Lists'!$I$47:$K$80,3,FALSE)))</f>
        <v/>
      </c>
      <c r="AS75" s="135" t="str">
        <f>IF(D75="","",IF(AX75="Condition","N/A",VLOOKUP(F75,'10. Condition and Temporal'!$B$6:$M$106,12,FALSE)))</f>
        <v/>
      </c>
      <c r="AT75" s="119" t="str">
        <f>IF(AS75="","",IF(AS75="N/A","1",VLOOKUP(AS75,'11. Lists'!$I$47:$K$80,3,FALSE)))</f>
        <v/>
      </c>
      <c r="AU75" s="118" t="str">
        <f>IF(D75="","",VLOOKUP(F75,'9. All Habitats + Multipliers'!$C$4:$K$102,8,FALSE))</f>
        <v/>
      </c>
      <c r="AV75" s="116" t="str">
        <f>IF(AU75="","",VLOOKUP(AU75,'11. Lists'!$J$35:$K$38,2,FALSE))</f>
        <v/>
      </c>
      <c r="AW75" s="115" t="str">
        <f>IF(D75="","",VLOOKUP(D75,'10. Condition and Temporal'!$B$6:$M$103,4,FALSE))</f>
        <v/>
      </c>
      <c r="AX75" s="116" t="str">
        <f t="shared" si="22"/>
        <v/>
      </c>
      <c r="AZ75" s="210"/>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8" t="str">
        <f t="shared" si="49"/>
        <v/>
      </c>
      <c r="BW75" s="95" t="s">
        <v>175</v>
      </c>
      <c r="BX75" s="95">
        <f>BK64</f>
        <v>0</v>
      </c>
    </row>
    <row r="76" spans="1:76" s="25" customFormat="1" ht="15.6">
      <c r="B76" s="268">
        <v>11</v>
      </c>
      <c r="C76" s="120" t="str">
        <f t="shared" si="12"/>
        <v/>
      </c>
      <c r="D76" s="212" t="str">
        <f t="shared" si="43"/>
        <v/>
      </c>
      <c r="E76" s="170" t="str">
        <f t="shared" si="13"/>
        <v/>
      </c>
      <c r="F76" s="818"/>
      <c r="G76" s="819"/>
      <c r="H76" s="167" t="str">
        <f t="shared" si="14"/>
        <v/>
      </c>
      <c r="I76" s="324" t="str">
        <f t="shared" si="44"/>
        <v/>
      </c>
      <c r="J76" s="865" t="str">
        <f>IFERROR(IF(F76="","",VLOOKUP(F76,'10. Condition and Temporal'!$B$6:$F$103,5,FALSE)), "Error ▲")</f>
        <v/>
      </c>
      <c r="K76" s="866"/>
      <c r="L76" s="287" t="str">
        <f t="shared" si="45"/>
        <v/>
      </c>
      <c r="M76" s="726" t="str">
        <f t="shared" si="46"/>
        <v/>
      </c>
      <c r="N76" s="867"/>
      <c r="O76" s="74"/>
      <c r="P76" s="12"/>
      <c r="R76" s="733"/>
      <c r="T76" s="181" t="str">
        <f t="shared" si="15"/>
        <v/>
      </c>
      <c r="U76" s="115" t="str">
        <f t="shared" si="47"/>
        <v/>
      </c>
      <c r="V76" s="116" t="str">
        <f t="shared" si="16"/>
        <v/>
      </c>
      <c r="W76" s="115" t="str">
        <f t="shared" si="16"/>
        <v/>
      </c>
      <c r="X76" s="95" t="str">
        <f t="shared" si="16"/>
        <v/>
      </c>
      <c r="Y76" s="347"/>
      <c r="Z76" s="347"/>
      <c r="AA76" s="347"/>
      <c r="AB76" s="95" t="str">
        <f t="shared" si="17"/>
        <v/>
      </c>
      <c r="AC76" s="117" t="str">
        <f t="shared" si="18"/>
        <v/>
      </c>
      <c r="AD76" s="116" t="str">
        <f t="shared" si="50"/>
        <v/>
      </c>
      <c r="AE76" s="183" t="str">
        <f t="shared" si="48"/>
        <v/>
      </c>
      <c r="AF76" s="114" t="str">
        <f t="shared" si="19"/>
        <v/>
      </c>
      <c r="AG76" s="115" t="str">
        <f>IF(D76="","",VLOOKUP(F76,'9. All Habitats + Multipliers'!$C$4:$K$102,5,FALSE))</f>
        <v/>
      </c>
      <c r="AH76" s="116" t="str">
        <f>IF(AG76="","",VLOOKUP(AG76,'11. Lists'!$S$47:$U$50,2,FALSE))</f>
        <v/>
      </c>
      <c r="AI76" s="114" t="str">
        <f t="shared" si="20"/>
        <v/>
      </c>
      <c r="AJ76" s="93" t="str">
        <f>IF(AI76="","",VLOOKUP(AI76,'11. Lists'!$F$47:$G$51,2,FALSE))</f>
        <v/>
      </c>
      <c r="AK76" s="347"/>
      <c r="AL76" s="347"/>
      <c r="AM76" s="347"/>
      <c r="AN76" s="94" t="str">
        <f t="shared" si="21"/>
        <v/>
      </c>
      <c r="AO76" s="118" t="str">
        <f>IF(AN76="","",VLOOKUP(AN76,'11. Lists'!$F$36:$H$38,2,FALSE))</f>
        <v/>
      </c>
      <c r="AP76" s="116" t="str">
        <f>IF(AN76="","",VLOOKUP(AN76,'11. Lists'!$F$36:$H$38,3,FALSE))</f>
        <v/>
      </c>
      <c r="AQ76" s="115" t="str">
        <f>IF(D76="","",IF(AX76="Distinctiveness","N/A",VLOOKUP(F76,'10. Condition and Temporal'!$B$6:$L$103,11,FALSE)))</f>
        <v/>
      </c>
      <c r="AR76" s="119" t="str">
        <f>IF(AQ76="","",IF(AQ76="N/A","1",VLOOKUP(AQ76,'11. Lists'!$I$47:$K$80,3,FALSE)))</f>
        <v/>
      </c>
      <c r="AS76" s="135" t="str">
        <f>IF(D76="","",IF(AX76="Condition","N/A",VLOOKUP(F76,'10. Condition and Temporal'!$B$6:$M$106,12,FALSE)))</f>
        <v/>
      </c>
      <c r="AT76" s="119" t="str">
        <f>IF(AS76="","",IF(AS76="N/A","1",VLOOKUP(AS76,'11. Lists'!$I$47:$K$80,3,FALSE)))</f>
        <v/>
      </c>
      <c r="AU76" s="118" t="str">
        <f>IF(D76="","",VLOOKUP(F76,'9. All Habitats + Multipliers'!$C$4:$K$102,8,FALSE))</f>
        <v/>
      </c>
      <c r="AV76" s="116" t="str">
        <f>IF(AU76="","",VLOOKUP(AU76,'11. Lists'!$J$35:$K$38,2,FALSE))</f>
        <v/>
      </c>
      <c r="AW76" s="115" t="str">
        <f>IF(D76="","",VLOOKUP(D76,'10. Condition and Temporal'!$B$6:$M$103,4,FALSE))</f>
        <v/>
      </c>
      <c r="AX76" s="116" t="str">
        <f t="shared" si="22"/>
        <v/>
      </c>
      <c r="AZ76" s="210"/>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8" t="str">
        <f t="shared" si="49"/>
        <v/>
      </c>
      <c r="BW76" s="95" t="s">
        <v>176</v>
      </c>
      <c r="BX76" s="95">
        <f>BL64</f>
        <v>0</v>
      </c>
    </row>
    <row r="77" spans="1:76" s="25" customFormat="1" ht="15.6">
      <c r="B77" s="268">
        <v>12</v>
      </c>
      <c r="C77" s="120" t="str">
        <f t="shared" si="12"/>
        <v/>
      </c>
      <c r="D77" s="212" t="str">
        <f t="shared" si="43"/>
        <v/>
      </c>
      <c r="E77" s="170" t="str">
        <f t="shared" si="13"/>
        <v/>
      </c>
      <c r="F77" s="818"/>
      <c r="G77" s="819"/>
      <c r="H77" s="167" t="str">
        <f t="shared" si="14"/>
        <v/>
      </c>
      <c r="I77" s="324" t="str">
        <f t="shared" si="44"/>
        <v/>
      </c>
      <c r="J77" s="865" t="str">
        <f>IFERROR(IF(F77="","",VLOOKUP(F77,'10. Condition and Temporal'!$B$6:$F$103,5,FALSE)), "Error ▲")</f>
        <v/>
      </c>
      <c r="K77" s="866"/>
      <c r="L77" s="287" t="str">
        <f t="shared" si="45"/>
        <v/>
      </c>
      <c r="M77" s="726" t="str">
        <f t="shared" si="46"/>
        <v/>
      </c>
      <c r="N77" s="867"/>
      <c r="O77" s="74"/>
      <c r="P77" s="12"/>
      <c r="R77" s="733"/>
      <c r="T77" s="181" t="str">
        <f t="shared" si="15"/>
        <v/>
      </c>
      <c r="U77" s="115" t="str">
        <f t="shared" si="47"/>
        <v/>
      </c>
      <c r="V77" s="116" t="str">
        <f t="shared" si="16"/>
        <v/>
      </c>
      <c r="W77" s="115" t="str">
        <f t="shared" si="16"/>
        <v/>
      </c>
      <c r="X77" s="95" t="str">
        <f t="shared" si="16"/>
        <v/>
      </c>
      <c r="Y77" s="347"/>
      <c r="Z77" s="347"/>
      <c r="AA77" s="347"/>
      <c r="AB77" s="95" t="str">
        <f t="shared" si="17"/>
        <v/>
      </c>
      <c r="AC77" s="117" t="str">
        <f t="shared" si="18"/>
        <v/>
      </c>
      <c r="AD77" s="116" t="str">
        <f t="shared" si="50"/>
        <v/>
      </c>
      <c r="AE77" s="183" t="str">
        <f t="shared" si="48"/>
        <v/>
      </c>
      <c r="AF77" s="114" t="str">
        <f t="shared" si="19"/>
        <v/>
      </c>
      <c r="AG77" s="115" t="str">
        <f>IF(D77="","",VLOOKUP(F77,'9. All Habitats + Multipliers'!$C$4:$K$102,5,FALSE))</f>
        <v/>
      </c>
      <c r="AH77" s="116" t="str">
        <f>IF(AG77="","",VLOOKUP(AG77,'11. Lists'!$S$47:$U$50,2,FALSE))</f>
        <v/>
      </c>
      <c r="AI77" s="114" t="str">
        <f t="shared" si="20"/>
        <v/>
      </c>
      <c r="AJ77" s="93" t="str">
        <f>IF(AI77="","",VLOOKUP(AI77,'11. Lists'!$F$47:$G$51,2,FALSE))</f>
        <v/>
      </c>
      <c r="AK77" s="347"/>
      <c r="AL77" s="347"/>
      <c r="AM77" s="347"/>
      <c r="AN77" s="94" t="str">
        <f t="shared" si="21"/>
        <v/>
      </c>
      <c r="AO77" s="118" t="str">
        <f>IF(AN77="","",VLOOKUP(AN77,'11. Lists'!$F$36:$H$38,2,FALSE))</f>
        <v/>
      </c>
      <c r="AP77" s="116" t="str">
        <f>IF(AN77="","",VLOOKUP(AN77,'11. Lists'!$F$36:$H$38,3,FALSE))</f>
        <v/>
      </c>
      <c r="AQ77" s="115" t="str">
        <f>IF(D77="","",IF(AX77="Distinctiveness","N/A",VLOOKUP(F77,'10. Condition and Temporal'!$B$6:$L$103,11,FALSE)))</f>
        <v/>
      </c>
      <c r="AR77" s="119" t="str">
        <f>IF(AQ77="","",IF(AQ77="N/A","1",VLOOKUP(AQ77,'11. Lists'!$I$47:$K$80,3,FALSE)))</f>
        <v/>
      </c>
      <c r="AS77" s="135" t="str">
        <f>IF(D77="","",IF(AX77="Condition","N/A",VLOOKUP(F77,'10. Condition and Temporal'!$B$6:$M$106,12,FALSE)))</f>
        <v/>
      </c>
      <c r="AT77" s="119" t="str">
        <f>IF(AS77="","",IF(AS77="N/A","1",VLOOKUP(AS77,'11. Lists'!$I$47:$K$80,3,FALSE)))</f>
        <v/>
      </c>
      <c r="AU77" s="118" t="str">
        <f>IF(D77="","",VLOOKUP(F77,'9. All Habitats + Multipliers'!$C$4:$K$102,8,FALSE))</f>
        <v/>
      </c>
      <c r="AV77" s="116" t="str">
        <f>IF(AU77="","",VLOOKUP(AU77,'11. Lists'!$J$35:$K$38,2,FALSE))</f>
        <v/>
      </c>
      <c r="AW77" s="115" t="str">
        <f>IF(D77="","",VLOOKUP(D77,'10. Condition and Temporal'!$B$6:$M$103,4,FALSE))</f>
        <v/>
      </c>
      <c r="AX77" s="116" t="str">
        <f t="shared" si="22"/>
        <v/>
      </c>
      <c r="AZ77" s="210"/>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8" t="str">
        <f t="shared" si="49"/>
        <v/>
      </c>
      <c r="BW77" s="95" t="s">
        <v>177</v>
      </c>
      <c r="BX77" s="95">
        <f>BM64</f>
        <v>0</v>
      </c>
    </row>
    <row r="78" spans="1:76" s="25" customFormat="1" ht="15.6">
      <c r="B78" s="268">
        <v>13</v>
      </c>
      <c r="C78" s="120" t="str">
        <f t="shared" si="12"/>
        <v/>
      </c>
      <c r="D78" s="212" t="str">
        <f t="shared" si="43"/>
        <v/>
      </c>
      <c r="E78" s="170" t="str">
        <f t="shared" si="13"/>
        <v/>
      </c>
      <c r="F78" s="818"/>
      <c r="G78" s="819"/>
      <c r="H78" s="167" t="str">
        <f t="shared" si="14"/>
        <v/>
      </c>
      <c r="I78" s="324" t="str">
        <f t="shared" si="44"/>
        <v/>
      </c>
      <c r="J78" s="865" t="str">
        <f>IFERROR(IF(F78="","",VLOOKUP(F78,'10. Condition and Temporal'!$B$6:$F$103,5,FALSE)), "Error ▲")</f>
        <v/>
      </c>
      <c r="K78" s="866"/>
      <c r="L78" s="287" t="str">
        <f>IFERROR(IF(D78="","",IF(AX78="Distinctiveness",(((((I78*AH78*AJ78)-(I78*V78*X78))*(AV78*AT78))+(I78*V78*X78))*AP78/1000),((((I78*AH78*AJ78)-(I78*V78*X78))*(AV78*AR78))+(I78*V78*X78))*AP78/1000)),"This intervention is not permitted within the SSM ▲")</f>
        <v/>
      </c>
      <c r="M78" s="726" t="str">
        <f t="shared" si="46"/>
        <v/>
      </c>
      <c r="N78" s="867"/>
      <c r="O78" s="74"/>
      <c r="P78" s="12"/>
      <c r="R78" s="733"/>
      <c r="T78" s="181" t="str">
        <f t="shared" si="15"/>
        <v/>
      </c>
      <c r="U78" s="115" t="str">
        <f t="shared" si="47"/>
        <v/>
      </c>
      <c r="V78" s="116" t="str">
        <f t="shared" si="16"/>
        <v/>
      </c>
      <c r="W78" s="115" t="str">
        <f t="shared" si="16"/>
        <v/>
      </c>
      <c r="X78" s="95" t="str">
        <f t="shared" si="16"/>
        <v/>
      </c>
      <c r="Y78" s="347"/>
      <c r="Z78" s="347"/>
      <c r="AA78" s="347"/>
      <c r="AB78" s="95" t="str">
        <f t="shared" si="17"/>
        <v/>
      </c>
      <c r="AC78" s="117" t="str">
        <f t="shared" si="18"/>
        <v/>
      </c>
      <c r="AD78" s="116" t="str">
        <f t="shared" si="50"/>
        <v/>
      </c>
      <c r="AE78" s="183" t="str">
        <f t="shared" si="48"/>
        <v/>
      </c>
      <c r="AF78" s="114" t="str">
        <f t="shared" si="19"/>
        <v/>
      </c>
      <c r="AG78" s="115" t="str">
        <f>IF(D78="","",VLOOKUP(F78,'9. All Habitats + Multipliers'!$C$4:$K$102,5,FALSE))</f>
        <v/>
      </c>
      <c r="AH78" s="116" t="str">
        <f>IF(AG78="","",VLOOKUP(AG78,'11. Lists'!$S$47:$U$50,2,FALSE))</f>
        <v/>
      </c>
      <c r="AI78" s="114" t="str">
        <f t="shared" si="20"/>
        <v/>
      </c>
      <c r="AJ78" s="93" t="str">
        <f>IF(AI78="","",VLOOKUP(AI78,'11. Lists'!$F$47:$G$51,2,FALSE))</f>
        <v/>
      </c>
      <c r="AK78" s="347"/>
      <c r="AL78" s="347"/>
      <c r="AM78" s="347"/>
      <c r="AN78" s="94" t="str">
        <f t="shared" si="21"/>
        <v/>
      </c>
      <c r="AO78" s="118" t="str">
        <f>IF(AN78="","",VLOOKUP(AN78,'11. Lists'!$F$36:$H$38,2,FALSE))</f>
        <v/>
      </c>
      <c r="AP78" s="116" t="str">
        <f>IF(AN78="","",VLOOKUP(AN78,'11. Lists'!$F$36:$H$38,3,FALSE))</f>
        <v/>
      </c>
      <c r="AQ78" s="115" t="str">
        <f>IF(D78="","",IF(AX78="Distinctiveness","N/A",VLOOKUP(F78,'10. Condition and Temporal'!$B$6:$L$103,11,FALSE)))</f>
        <v/>
      </c>
      <c r="AR78" s="119" t="str">
        <f>IF(AQ78="","",IF(AQ78="N/A","1",VLOOKUP(AQ78,'11. Lists'!$I$47:$K$80,3,FALSE)))</f>
        <v/>
      </c>
      <c r="AS78" s="135" t="str">
        <f>IF(D78="","",IF(AX78="Condition","N/A",VLOOKUP(F78,'10. Condition and Temporal'!$B$6:$M$106,12,FALSE)))</f>
        <v/>
      </c>
      <c r="AT78" s="119" t="str">
        <f>IF(AS78="","",IF(AS78="N/A","1",VLOOKUP(AS78,'11. Lists'!$I$47:$K$80,3,FALSE)))</f>
        <v/>
      </c>
      <c r="AU78" s="118" t="str">
        <f>IF(D78="","",VLOOKUP(F78,'9. All Habitats + Multipliers'!$C$4:$K$102,8,FALSE))</f>
        <v/>
      </c>
      <c r="AV78" s="116" t="str">
        <f>IF(AU78="","",VLOOKUP(AU78,'11. Lists'!$J$35:$K$38,2,FALSE))</f>
        <v/>
      </c>
      <c r="AW78" s="115" t="str">
        <f>IF(D78="","",VLOOKUP(D78,'10. Condition and Temporal'!$B$6:$M$103,4,FALSE))</f>
        <v/>
      </c>
      <c r="AX78" s="116" t="str">
        <f t="shared" si="22"/>
        <v/>
      </c>
      <c r="AZ78" s="210"/>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8" t="str">
        <f t="shared" si="49"/>
        <v/>
      </c>
      <c r="BW78" s="95" t="s">
        <v>178</v>
      </c>
      <c r="BX78" s="95">
        <f>BN64</f>
        <v>0</v>
      </c>
    </row>
    <row r="79" spans="1:76" s="25" customFormat="1" ht="15.6">
      <c r="B79" s="268">
        <v>14</v>
      </c>
      <c r="C79" s="120" t="str">
        <f t="shared" si="12"/>
        <v/>
      </c>
      <c r="D79" s="212" t="str">
        <f t="shared" si="43"/>
        <v/>
      </c>
      <c r="E79" s="170" t="str">
        <f t="shared" si="13"/>
        <v/>
      </c>
      <c r="F79" s="818"/>
      <c r="G79" s="819"/>
      <c r="H79" s="167" t="str">
        <f t="shared" si="14"/>
        <v/>
      </c>
      <c r="I79" s="324" t="str">
        <f t="shared" si="44"/>
        <v/>
      </c>
      <c r="J79" s="865" t="str">
        <f>IFERROR(IF(F79="","",VLOOKUP(F79,'10. Condition and Temporal'!$B$6:$F$103,5,FALSE)), "Error ▲")</f>
        <v/>
      </c>
      <c r="K79" s="866"/>
      <c r="L79" s="287" t="str">
        <f t="shared" si="45"/>
        <v/>
      </c>
      <c r="M79" s="726" t="str">
        <f t="shared" si="46"/>
        <v/>
      </c>
      <c r="N79" s="867"/>
      <c r="O79" s="74"/>
      <c r="P79" s="12"/>
      <c r="R79" s="733"/>
      <c r="T79" s="181" t="str">
        <f t="shared" si="15"/>
        <v/>
      </c>
      <c r="U79" s="115" t="str">
        <f t="shared" si="47"/>
        <v/>
      </c>
      <c r="V79" s="116" t="str">
        <f t="shared" si="16"/>
        <v/>
      </c>
      <c r="W79" s="115" t="str">
        <f t="shared" si="16"/>
        <v/>
      </c>
      <c r="X79" s="95" t="str">
        <f t="shared" si="16"/>
        <v/>
      </c>
      <c r="Y79" s="347"/>
      <c r="Z79" s="347"/>
      <c r="AA79" s="347"/>
      <c r="AB79" s="95" t="str">
        <f t="shared" si="17"/>
        <v/>
      </c>
      <c r="AC79" s="117" t="str">
        <f t="shared" si="18"/>
        <v/>
      </c>
      <c r="AD79" s="116" t="str">
        <f t="shared" si="50"/>
        <v/>
      </c>
      <c r="AE79" s="183" t="str">
        <f t="shared" si="48"/>
        <v/>
      </c>
      <c r="AF79" s="114" t="str">
        <f t="shared" si="19"/>
        <v/>
      </c>
      <c r="AG79" s="115" t="str">
        <f>IF(D79="","",VLOOKUP(F79,'9. All Habitats + Multipliers'!$C$4:$K$102,5,FALSE))</f>
        <v/>
      </c>
      <c r="AH79" s="116" t="str">
        <f>IF(AG79="","",VLOOKUP(AG79,'11. Lists'!$S$47:$U$50,2,FALSE))</f>
        <v/>
      </c>
      <c r="AI79" s="114" t="str">
        <f t="shared" si="20"/>
        <v/>
      </c>
      <c r="AJ79" s="93" t="str">
        <f>IF(AI79="","",VLOOKUP(AI79,'11. Lists'!$F$47:$G$51,2,FALSE))</f>
        <v/>
      </c>
      <c r="AK79" s="347"/>
      <c r="AL79" s="347"/>
      <c r="AM79" s="347"/>
      <c r="AN79" s="94" t="str">
        <f t="shared" si="21"/>
        <v/>
      </c>
      <c r="AO79" s="118" t="str">
        <f>IF(AN79="","",VLOOKUP(AN79,'11. Lists'!$F$36:$H$38,2,FALSE))</f>
        <v/>
      </c>
      <c r="AP79" s="116" t="str">
        <f>IF(AN79="","",VLOOKUP(AN79,'11. Lists'!$F$36:$H$38,3,FALSE))</f>
        <v/>
      </c>
      <c r="AQ79" s="115" t="str">
        <f>IF(D79="","",IF(AX79="Distinctiveness","N/A",VLOOKUP(F79,'10. Condition and Temporal'!$B$6:$L$103,11,FALSE)))</f>
        <v/>
      </c>
      <c r="AR79" s="119" t="str">
        <f>IF(AQ79="","",IF(AQ79="N/A","1",VLOOKUP(AQ79,'11. Lists'!$I$47:$K$80,3,FALSE)))</f>
        <v/>
      </c>
      <c r="AS79" s="135" t="str">
        <f>IF(D79="","",IF(AX79="Condition","N/A",VLOOKUP(F79,'10. Condition and Temporal'!$B$6:$M$106,12,FALSE)))</f>
        <v/>
      </c>
      <c r="AT79" s="119" t="str">
        <f>IF(AS79="","",IF(AS79="N/A","1",VLOOKUP(AS79,'11. Lists'!$I$47:$K$80,3,FALSE)))</f>
        <v/>
      </c>
      <c r="AU79" s="118" t="str">
        <f>IF(D79="","",VLOOKUP(F79,'9. All Habitats + Multipliers'!$C$4:$K$102,8,FALSE))</f>
        <v/>
      </c>
      <c r="AV79" s="116" t="str">
        <f>IF(AU79="","",VLOOKUP(AU79,'11. Lists'!$J$35:$K$38,2,FALSE))</f>
        <v/>
      </c>
      <c r="AW79" s="115" t="str">
        <f>IF(D79="","",VLOOKUP(D79,'10. Condition and Temporal'!$B$6:$M$103,4,FALSE))</f>
        <v/>
      </c>
      <c r="AX79" s="116" t="str">
        <f t="shared" si="22"/>
        <v/>
      </c>
      <c r="AZ79" s="210"/>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8" t="str">
        <f t="shared" si="49"/>
        <v/>
      </c>
      <c r="BW79" s="95" t="s">
        <v>179</v>
      </c>
      <c r="BX79" s="95">
        <f>BO64</f>
        <v>0</v>
      </c>
    </row>
    <row r="80" spans="1:76" s="25" customFormat="1" ht="15.6">
      <c r="B80" s="268">
        <v>15</v>
      </c>
      <c r="C80" s="120" t="str">
        <f t="shared" si="12"/>
        <v/>
      </c>
      <c r="D80" s="212" t="str">
        <f t="shared" si="43"/>
        <v/>
      </c>
      <c r="E80" s="170" t="str">
        <f t="shared" si="13"/>
        <v/>
      </c>
      <c r="F80" s="818"/>
      <c r="G80" s="819"/>
      <c r="H80" s="167" t="str">
        <f t="shared" si="14"/>
        <v/>
      </c>
      <c r="I80" s="324" t="str">
        <f t="shared" si="44"/>
        <v/>
      </c>
      <c r="J80" s="865" t="str">
        <f>IFERROR(IF(F80="","",VLOOKUP(F80,'10. Condition and Temporal'!$B$6:$F$103,5,FALSE)), "Error ▲")</f>
        <v/>
      </c>
      <c r="K80" s="866"/>
      <c r="L80" s="287" t="str">
        <f t="shared" si="45"/>
        <v/>
      </c>
      <c r="M80" s="726" t="str">
        <f t="shared" si="46"/>
        <v/>
      </c>
      <c r="N80" s="867"/>
      <c r="O80" s="74"/>
      <c r="P80" s="12"/>
      <c r="R80" s="733"/>
      <c r="T80" s="181" t="str">
        <f t="shared" si="15"/>
        <v/>
      </c>
      <c r="U80" s="115" t="str">
        <f t="shared" si="47"/>
        <v/>
      </c>
      <c r="V80" s="116" t="str">
        <f t="shared" si="16"/>
        <v/>
      </c>
      <c r="W80" s="115" t="str">
        <f t="shared" si="16"/>
        <v/>
      </c>
      <c r="X80" s="95" t="str">
        <f t="shared" si="16"/>
        <v/>
      </c>
      <c r="Y80" s="347"/>
      <c r="Z80" s="347"/>
      <c r="AA80" s="347"/>
      <c r="AB80" s="95" t="str">
        <f t="shared" si="17"/>
        <v/>
      </c>
      <c r="AC80" s="117" t="str">
        <f t="shared" si="18"/>
        <v/>
      </c>
      <c r="AD80" s="116" t="str">
        <f t="shared" si="50"/>
        <v/>
      </c>
      <c r="AE80" s="183" t="str">
        <f t="shared" si="48"/>
        <v/>
      </c>
      <c r="AF80" s="114" t="str">
        <f t="shared" si="19"/>
        <v/>
      </c>
      <c r="AG80" s="115" t="str">
        <f>IF(D80="","",VLOOKUP(F80,'9. All Habitats + Multipliers'!$C$4:$K$102,5,FALSE))</f>
        <v/>
      </c>
      <c r="AH80" s="116" t="str">
        <f>IF(AG80="","",VLOOKUP(AG80,'11. Lists'!$S$47:$U$50,2,FALSE))</f>
        <v/>
      </c>
      <c r="AI80" s="114" t="str">
        <f t="shared" si="20"/>
        <v/>
      </c>
      <c r="AJ80" s="93" t="str">
        <f>IF(AI80="","",VLOOKUP(AI80,'11. Lists'!$F$47:$G$51,2,FALSE))</f>
        <v/>
      </c>
      <c r="AK80" s="347"/>
      <c r="AL80" s="347"/>
      <c r="AM80" s="347"/>
      <c r="AN80" s="94" t="str">
        <f t="shared" si="21"/>
        <v/>
      </c>
      <c r="AO80" s="118" t="str">
        <f>IF(AN80="","",VLOOKUP(AN80,'11. Lists'!$F$36:$H$38,2,FALSE))</f>
        <v/>
      </c>
      <c r="AP80" s="116" t="str">
        <f>IF(AN80="","",VLOOKUP(AN80,'11. Lists'!$F$36:$H$38,3,FALSE))</f>
        <v/>
      </c>
      <c r="AQ80" s="115" t="str">
        <f>IF(D80="","",IF(AX80="Distinctiveness","N/A",VLOOKUP(F80,'10. Condition and Temporal'!$B$6:$L$103,11,FALSE)))</f>
        <v/>
      </c>
      <c r="AR80" s="119" t="str">
        <f>IF(AQ80="","",IF(AQ80="N/A","1",VLOOKUP(AQ80,'11. Lists'!$I$47:$K$80,3,FALSE)))</f>
        <v/>
      </c>
      <c r="AS80" s="135" t="str">
        <f>IF(D80="","",IF(AX80="Condition","N/A",VLOOKUP(F80,'10. Condition and Temporal'!$B$6:$M$106,12,FALSE)))</f>
        <v/>
      </c>
      <c r="AT80" s="119" t="str">
        <f>IF(AS80="","",IF(AS80="N/A","1",VLOOKUP(AS80,'11. Lists'!$I$47:$K$80,3,FALSE)))</f>
        <v/>
      </c>
      <c r="AU80" s="118" t="str">
        <f>IF(D80="","",VLOOKUP(F80,'9. All Habitats + Multipliers'!$C$4:$K$102,8,FALSE))</f>
        <v/>
      </c>
      <c r="AV80" s="116" t="str">
        <f>IF(AU80="","",VLOOKUP(AU80,'11. Lists'!$J$35:$K$38,2,FALSE))</f>
        <v/>
      </c>
      <c r="AW80" s="115" t="str">
        <f>IF(D80="","",VLOOKUP(D80,'10. Condition and Temporal'!$B$6:$M$103,4,FALSE))</f>
        <v/>
      </c>
      <c r="AX80" s="116" t="str">
        <f t="shared" si="22"/>
        <v/>
      </c>
      <c r="AZ80" s="210"/>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8" t="str">
        <f t="shared" si="49"/>
        <v/>
      </c>
      <c r="BW80" s="95" t="s">
        <v>180</v>
      </c>
      <c r="BX80" s="95">
        <f>BP64</f>
        <v>0</v>
      </c>
    </row>
    <row r="81" spans="1:76" s="25" customFormat="1" ht="15.6">
      <c r="B81" s="268">
        <v>16</v>
      </c>
      <c r="C81" s="120" t="str">
        <f t="shared" si="12"/>
        <v/>
      </c>
      <c r="D81" s="212" t="str">
        <f t="shared" si="43"/>
        <v/>
      </c>
      <c r="E81" s="170" t="str">
        <f t="shared" si="13"/>
        <v/>
      </c>
      <c r="F81" s="818"/>
      <c r="G81" s="819"/>
      <c r="H81" s="167" t="str">
        <f t="shared" si="14"/>
        <v/>
      </c>
      <c r="I81" s="324" t="str">
        <f t="shared" si="44"/>
        <v/>
      </c>
      <c r="J81" s="865" t="str">
        <f>IFERROR(IF(F81="","",VLOOKUP(F81,'10. Condition and Temporal'!$B$6:$F$103,5,FALSE)), "Error ▲")</f>
        <v/>
      </c>
      <c r="K81" s="866"/>
      <c r="L81" s="287" t="str">
        <f t="shared" si="45"/>
        <v/>
      </c>
      <c r="M81" s="726" t="str">
        <f t="shared" si="46"/>
        <v/>
      </c>
      <c r="N81" s="867"/>
      <c r="O81" s="74"/>
      <c r="P81" s="12"/>
      <c r="R81" s="733"/>
      <c r="T81" s="181" t="str">
        <f t="shared" si="15"/>
        <v/>
      </c>
      <c r="U81" s="115" t="str">
        <f t="shared" si="47"/>
        <v/>
      </c>
      <c r="V81" s="116" t="str">
        <f t="shared" si="16"/>
        <v/>
      </c>
      <c r="W81" s="115" t="str">
        <f t="shared" si="16"/>
        <v/>
      </c>
      <c r="X81" s="95" t="str">
        <f t="shared" si="16"/>
        <v/>
      </c>
      <c r="Y81" s="347"/>
      <c r="Z81" s="347"/>
      <c r="AA81" s="347"/>
      <c r="AB81" s="95" t="str">
        <f t="shared" si="17"/>
        <v/>
      </c>
      <c r="AC81" s="117" t="str">
        <f t="shared" si="18"/>
        <v/>
      </c>
      <c r="AD81" s="116" t="str">
        <f t="shared" si="50"/>
        <v/>
      </c>
      <c r="AE81" s="183" t="str">
        <f t="shared" si="48"/>
        <v/>
      </c>
      <c r="AF81" s="114" t="str">
        <f t="shared" si="19"/>
        <v/>
      </c>
      <c r="AG81" s="115" t="str">
        <f>IF(D81="","",VLOOKUP(F81,'9. All Habitats + Multipliers'!$C$4:$K$102,5,FALSE))</f>
        <v/>
      </c>
      <c r="AH81" s="116" t="str">
        <f>IF(AG81="","",VLOOKUP(AG81,'11. Lists'!$S$47:$U$50,2,FALSE))</f>
        <v/>
      </c>
      <c r="AI81" s="114" t="str">
        <f t="shared" si="20"/>
        <v/>
      </c>
      <c r="AJ81" s="93" t="str">
        <f>IF(AI81="","",VLOOKUP(AI81,'11. Lists'!$F$47:$G$51,2,FALSE))</f>
        <v/>
      </c>
      <c r="AK81" s="347"/>
      <c r="AL81" s="347"/>
      <c r="AM81" s="347"/>
      <c r="AN81" s="94" t="str">
        <f t="shared" si="21"/>
        <v/>
      </c>
      <c r="AO81" s="118" t="str">
        <f>IF(AN81="","",VLOOKUP(AN81,'11. Lists'!$F$36:$H$38,2,FALSE))</f>
        <v/>
      </c>
      <c r="AP81" s="116" t="str">
        <f>IF(AN81="","",VLOOKUP(AN81,'11. Lists'!$F$36:$H$38,3,FALSE))</f>
        <v/>
      </c>
      <c r="AQ81" s="115" t="str">
        <f>IF(D81="","",IF(AX81="Distinctiveness","N/A",VLOOKUP(F81,'10. Condition and Temporal'!$B$6:$L$103,11,FALSE)))</f>
        <v/>
      </c>
      <c r="AR81" s="119" t="str">
        <f>IF(AQ81="","",IF(AQ81="N/A","1",VLOOKUP(AQ81,'11. Lists'!$I$47:$K$80,3,FALSE)))</f>
        <v/>
      </c>
      <c r="AS81" s="135" t="str">
        <f>IF(D81="","",IF(AX81="Condition","N/A",VLOOKUP(F81,'10. Condition and Temporal'!$B$6:$M$106,12,FALSE)))</f>
        <v/>
      </c>
      <c r="AT81" s="119" t="str">
        <f>IF(AS81="","",IF(AS81="N/A","1",VLOOKUP(AS81,'11. Lists'!$I$47:$K$80,3,FALSE)))</f>
        <v/>
      </c>
      <c r="AU81" s="118" t="str">
        <f>IF(D81="","",VLOOKUP(F81,'9. All Habitats + Multipliers'!$C$4:$K$102,8,FALSE))</f>
        <v/>
      </c>
      <c r="AV81" s="116" t="str">
        <f>IF(AU81="","",VLOOKUP(AU81,'11. Lists'!$J$35:$K$38,2,FALSE))</f>
        <v/>
      </c>
      <c r="AW81" s="115" t="str">
        <f>IF(D81="","",VLOOKUP(D81,'10. Condition and Temporal'!$B$6:$M$103,4,FALSE))</f>
        <v/>
      </c>
      <c r="AX81" s="116" t="str">
        <f t="shared" si="22"/>
        <v/>
      </c>
      <c r="AZ81" s="210"/>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8" t="str">
        <f t="shared" si="49"/>
        <v/>
      </c>
      <c r="BW81" s="95" t="s">
        <v>181</v>
      </c>
      <c r="BX81" s="95">
        <f>BQ64</f>
        <v>0</v>
      </c>
    </row>
    <row r="82" spans="1:76" s="25" customFormat="1" ht="15.6">
      <c r="B82" s="268">
        <v>17</v>
      </c>
      <c r="C82" s="120" t="str">
        <f t="shared" si="12"/>
        <v/>
      </c>
      <c r="D82" s="212" t="str">
        <f t="shared" si="43"/>
        <v/>
      </c>
      <c r="E82" s="170" t="str">
        <f t="shared" si="13"/>
        <v/>
      </c>
      <c r="F82" s="818"/>
      <c r="G82" s="819"/>
      <c r="H82" s="167" t="str">
        <f t="shared" si="14"/>
        <v/>
      </c>
      <c r="I82" s="324" t="str">
        <f t="shared" si="44"/>
        <v/>
      </c>
      <c r="J82" s="865" t="str">
        <f>IFERROR(IF(F82="","",VLOOKUP(F82,'10. Condition and Temporal'!$B$6:$F$103,5,FALSE)), "Error ▲")</f>
        <v/>
      </c>
      <c r="K82" s="866"/>
      <c r="L82" s="287" t="str">
        <f t="shared" si="45"/>
        <v/>
      </c>
      <c r="M82" s="726" t="str">
        <f t="shared" si="46"/>
        <v/>
      </c>
      <c r="N82" s="867"/>
      <c r="O82" s="74"/>
      <c r="P82" s="12"/>
      <c r="R82" s="733"/>
      <c r="T82" s="181" t="str">
        <f t="shared" si="15"/>
        <v/>
      </c>
      <c r="U82" s="115" t="str">
        <f t="shared" si="47"/>
        <v/>
      </c>
      <c r="V82" s="116" t="str">
        <f t="shared" si="16"/>
        <v/>
      </c>
      <c r="W82" s="115" t="str">
        <f t="shared" si="16"/>
        <v/>
      </c>
      <c r="X82" s="95" t="str">
        <f t="shared" si="16"/>
        <v/>
      </c>
      <c r="Y82" s="347"/>
      <c r="Z82" s="347"/>
      <c r="AA82" s="347"/>
      <c r="AB82" s="95" t="str">
        <f t="shared" si="17"/>
        <v/>
      </c>
      <c r="AC82" s="117" t="str">
        <f t="shared" si="18"/>
        <v/>
      </c>
      <c r="AD82" s="116" t="str">
        <f t="shared" si="50"/>
        <v/>
      </c>
      <c r="AE82" s="183" t="str">
        <f t="shared" si="48"/>
        <v/>
      </c>
      <c r="AF82" s="114" t="str">
        <f t="shared" si="19"/>
        <v/>
      </c>
      <c r="AG82" s="115" t="str">
        <f>IF(D82="","",VLOOKUP(F82,'9. All Habitats + Multipliers'!$C$4:$K$102,5,FALSE))</f>
        <v/>
      </c>
      <c r="AH82" s="116" t="str">
        <f>IF(AG82="","",VLOOKUP(AG82,'11. Lists'!$S$47:$U$50,2,FALSE))</f>
        <v/>
      </c>
      <c r="AI82" s="114" t="str">
        <f t="shared" si="20"/>
        <v/>
      </c>
      <c r="AJ82" s="93" t="str">
        <f>IF(AI82="","",VLOOKUP(AI82,'11. Lists'!$F$47:$G$51,2,FALSE))</f>
        <v/>
      </c>
      <c r="AK82" s="347"/>
      <c r="AL82" s="347"/>
      <c r="AM82" s="347"/>
      <c r="AN82" s="94" t="str">
        <f t="shared" si="21"/>
        <v/>
      </c>
      <c r="AO82" s="118" t="str">
        <f>IF(AN82="","",VLOOKUP(AN82,'11. Lists'!$F$36:$H$38,2,FALSE))</f>
        <v/>
      </c>
      <c r="AP82" s="116" t="str">
        <f>IF(AN82="","",VLOOKUP(AN82,'11. Lists'!$F$36:$H$38,3,FALSE))</f>
        <v/>
      </c>
      <c r="AQ82" s="115" t="str">
        <f>IF(D82="","",IF(AX82="Distinctiveness","N/A",VLOOKUP(F82,'10. Condition and Temporal'!$B$6:$L$103,11,FALSE)))</f>
        <v/>
      </c>
      <c r="AR82" s="119" t="str">
        <f>IF(AQ82="","",IF(AQ82="N/A","1",VLOOKUP(AQ82,'11. Lists'!$I$47:$K$80,3,FALSE)))</f>
        <v/>
      </c>
      <c r="AS82" s="135" t="str">
        <f>IF(D82="","",IF(AX82="Condition","N/A",VLOOKUP(F82,'10. Condition and Temporal'!$B$6:$M$106,12,FALSE)))</f>
        <v/>
      </c>
      <c r="AT82" s="119" t="str">
        <f>IF(AS82="","",IF(AS82="N/A","1",VLOOKUP(AS82,'11. Lists'!$I$47:$K$80,3,FALSE)))</f>
        <v/>
      </c>
      <c r="AU82" s="118" t="str">
        <f>IF(D82="","",VLOOKUP(F82,'9. All Habitats + Multipliers'!$C$4:$K$102,8,FALSE))</f>
        <v/>
      </c>
      <c r="AV82" s="116" t="str">
        <f>IF(AU82="","",VLOOKUP(AU82,'11. Lists'!$J$35:$K$38,2,FALSE))</f>
        <v/>
      </c>
      <c r="AW82" s="115" t="str">
        <f>IF(D82="","",VLOOKUP(D82,'10. Condition and Temporal'!$B$6:$M$103,4,FALSE))</f>
        <v/>
      </c>
      <c r="AX82" s="116" t="str">
        <f t="shared" si="22"/>
        <v/>
      </c>
      <c r="AZ82" s="210"/>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8" t="str">
        <f t="shared" si="49"/>
        <v/>
      </c>
      <c r="BW82" s="95" t="s">
        <v>182</v>
      </c>
      <c r="BX82" s="95">
        <f>BR64</f>
        <v>0</v>
      </c>
    </row>
    <row r="83" spans="1:76" s="25" customFormat="1" ht="15.6">
      <c r="B83" s="268">
        <v>18</v>
      </c>
      <c r="C83" s="120" t="str">
        <f t="shared" si="12"/>
        <v/>
      </c>
      <c r="D83" s="212" t="str">
        <f t="shared" si="43"/>
        <v/>
      </c>
      <c r="E83" s="170" t="str">
        <f t="shared" si="13"/>
        <v/>
      </c>
      <c r="F83" s="818"/>
      <c r="G83" s="819"/>
      <c r="H83" s="167" t="str">
        <f t="shared" si="14"/>
        <v/>
      </c>
      <c r="I83" s="324" t="str">
        <f t="shared" si="44"/>
        <v/>
      </c>
      <c r="J83" s="865" t="str">
        <f>IFERROR(IF(F83="","",VLOOKUP(F83,'10. Condition and Temporal'!$B$6:$F$103,5,FALSE)), "Error ▲")</f>
        <v/>
      </c>
      <c r="K83" s="866"/>
      <c r="L83" s="287" t="str">
        <f t="shared" si="45"/>
        <v/>
      </c>
      <c r="M83" s="726" t="str">
        <f t="shared" si="46"/>
        <v/>
      </c>
      <c r="N83" s="867"/>
      <c r="O83" s="74"/>
      <c r="P83" s="12"/>
      <c r="R83" s="733"/>
      <c r="T83" s="181" t="str">
        <f t="shared" si="15"/>
        <v/>
      </c>
      <c r="U83" s="115" t="str">
        <f t="shared" si="47"/>
        <v/>
      </c>
      <c r="V83" s="116" t="str">
        <f t="shared" si="16"/>
        <v/>
      </c>
      <c r="W83" s="115" t="str">
        <f t="shared" si="16"/>
        <v/>
      </c>
      <c r="X83" s="95" t="str">
        <f t="shared" si="16"/>
        <v/>
      </c>
      <c r="Y83" s="347"/>
      <c r="Z83" s="347"/>
      <c r="AA83" s="347"/>
      <c r="AB83" s="95" t="str">
        <f t="shared" si="17"/>
        <v/>
      </c>
      <c r="AC83" s="117" t="str">
        <f t="shared" si="18"/>
        <v/>
      </c>
      <c r="AD83" s="116" t="str">
        <f t="shared" si="50"/>
        <v/>
      </c>
      <c r="AE83" s="183" t="str">
        <f t="shared" si="48"/>
        <v/>
      </c>
      <c r="AF83" s="114" t="str">
        <f t="shared" si="19"/>
        <v/>
      </c>
      <c r="AG83" s="115" t="str">
        <f>IF(D83="","",VLOOKUP(F83,'9. All Habitats + Multipliers'!$C$4:$K$102,5,FALSE))</f>
        <v/>
      </c>
      <c r="AH83" s="116" t="str">
        <f>IF(AG83="","",VLOOKUP(AG83,'11. Lists'!$S$47:$U$50,2,FALSE))</f>
        <v/>
      </c>
      <c r="AI83" s="114" t="str">
        <f t="shared" si="20"/>
        <v/>
      </c>
      <c r="AJ83" s="93" t="str">
        <f>IF(AI83="","",VLOOKUP(AI83,'11. Lists'!$F$47:$G$51,2,FALSE))</f>
        <v/>
      </c>
      <c r="AK83" s="347"/>
      <c r="AL83" s="347"/>
      <c r="AM83" s="347"/>
      <c r="AN83" s="94" t="str">
        <f t="shared" si="21"/>
        <v/>
      </c>
      <c r="AO83" s="118" t="str">
        <f>IF(AN83="","",VLOOKUP(AN83,'11. Lists'!$F$36:$H$38,2,FALSE))</f>
        <v/>
      </c>
      <c r="AP83" s="116" t="str">
        <f>IF(AN83="","",VLOOKUP(AN83,'11. Lists'!$F$36:$H$38,3,FALSE))</f>
        <v/>
      </c>
      <c r="AQ83" s="115" t="str">
        <f>IF(D83="","",IF(AX83="Distinctiveness","N/A",VLOOKUP(F83,'10. Condition and Temporal'!$B$6:$L$103,11,FALSE)))</f>
        <v/>
      </c>
      <c r="AR83" s="119" t="str">
        <f>IF(AQ83="","",IF(AQ83="N/A","1",VLOOKUP(AQ83,'11. Lists'!$I$47:$K$80,3,FALSE)))</f>
        <v/>
      </c>
      <c r="AS83" s="135" t="str">
        <f>IF(D83="","",IF(AX83="Condition","N/A",VLOOKUP(F83,'10. Condition and Temporal'!$B$6:$M$106,12,FALSE)))</f>
        <v/>
      </c>
      <c r="AT83" s="119" t="str">
        <f>IF(AS83="","",IF(AS83="N/A","1",VLOOKUP(AS83,'11. Lists'!$I$47:$K$80,3,FALSE)))</f>
        <v/>
      </c>
      <c r="AU83" s="118" t="str">
        <f>IF(D83="","",VLOOKUP(F83,'9. All Habitats + Multipliers'!$C$4:$K$102,8,FALSE))</f>
        <v/>
      </c>
      <c r="AV83" s="116" t="str">
        <f>IF(AU83="","",VLOOKUP(AU83,'11. Lists'!$J$35:$K$38,2,FALSE))</f>
        <v/>
      </c>
      <c r="AW83" s="115" t="str">
        <f>IF(D83="","",VLOOKUP(D83,'10. Condition and Temporal'!$B$6:$M$103,4,FALSE))</f>
        <v/>
      </c>
      <c r="AX83" s="116" t="str">
        <f t="shared" si="22"/>
        <v/>
      </c>
      <c r="AZ83" s="210"/>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8" t="str">
        <f t="shared" si="49"/>
        <v/>
      </c>
      <c r="BW83" s="95" t="s">
        <v>183</v>
      </c>
      <c r="BX83" s="95">
        <f>BS64</f>
        <v>0</v>
      </c>
    </row>
    <row r="84" spans="1:76" s="25" customFormat="1" ht="15.6">
      <c r="B84" s="268">
        <v>19</v>
      </c>
      <c r="C84" s="120" t="str">
        <f t="shared" si="12"/>
        <v/>
      </c>
      <c r="D84" s="212" t="str">
        <f t="shared" si="43"/>
        <v/>
      </c>
      <c r="E84" s="170" t="str">
        <f t="shared" si="13"/>
        <v/>
      </c>
      <c r="F84" s="818"/>
      <c r="G84" s="819"/>
      <c r="H84" s="167" t="str">
        <f t="shared" si="14"/>
        <v/>
      </c>
      <c r="I84" s="324" t="str">
        <f t="shared" si="44"/>
        <v/>
      </c>
      <c r="J84" s="865" t="str">
        <f>IFERROR(IF(F84="","",VLOOKUP(F84,'10. Condition and Temporal'!$B$6:$F$103,5,FALSE)), "Error ▲")</f>
        <v/>
      </c>
      <c r="K84" s="866"/>
      <c r="L84" s="287" t="str">
        <f t="shared" si="45"/>
        <v/>
      </c>
      <c r="M84" s="726" t="str">
        <f t="shared" si="46"/>
        <v/>
      </c>
      <c r="N84" s="867"/>
      <c r="O84" s="74"/>
      <c r="P84" s="12"/>
      <c r="R84" s="733"/>
      <c r="T84" s="181" t="str">
        <f t="shared" si="15"/>
        <v/>
      </c>
      <c r="U84" s="115" t="str">
        <f t="shared" si="47"/>
        <v/>
      </c>
      <c r="V84" s="116" t="str">
        <f t="shared" si="16"/>
        <v/>
      </c>
      <c r="W84" s="115" t="str">
        <f t="shared" si="16"/>
        <v/>
      </c>
      <c r="X84" s="95" t="str">
        <f t="shared" si="16"/>
        <v/>
      </c>
      <c r="Y84" s="347"/>
      <c r="Z84" s="347"/>
      <c r="AA84" s="347"/>
      <c r="AB84" s="95" t="str">
        <f t="shared" si="17"/>
        <v/>
      </c>
      <c r="AC84" s="117" t="str">
        <f t="shared" si="18"/>
        <v/>
      </c>
      <c r="AD84" s="116" t="str">
        <f t="shared" si="50"/>
        <v/>
      </c>
      <c r="AE84" s="183" t="str">
        <f t="shared" si="48"/>
        <v/>
      </c>
      <c r="AF84" s="114" t="str">
        <f t="shared" si="19"/>
        <v/>
      </c>
      <c r="AG84" s="115" t="str">
        <f>IF(D84="","",VLOOKUP(F84,'9. All Habitats + Multipliers'!$C$4:$K$102,5,FALSE))</f>
        <v/>
      </c>
      <c r="AH84" s="116" t="str">
        <f>IF(AG84="","",VLOOKUP(AG84,'11. Lists'!$S$47:$U$50,2,FALSE))</f>
        <v/>
      </c>
      <c r="AI84" s="114" t="str">
        <f t="shared" si="20"/>
        <v/>
      </c>
      <c r="AJ84" s="93" t="str">
        <f>IF(AI84="","",VLOOKUP(AI84,'11. Lists'!$F$47:$G$51,2,FALSE))</f>
        <v/>
      </c>
      <c r="AK84" s="347"/>
      <c r="AL84" s="347"/>
      <c r="AM84" s="347"/>
      <c r="AN84" s="94" t="str">
        <f t="shared" si="21"/>
        <v/>
      </c>
      <c r="AO84" s="118" t="str">
        <f>IF(AN84="","",VLOOKUP(AN84,'11. Lists'!$F$36:$H$38,2,FALSE))</f>
        <v/>
      </c>
      <c r="AP84" s="116" t="str">
        <f>IF(AN84="","",VLOOKUP(AN84,'11. Lists'!$F$36:$H$38,3,FALSE))</f>
        <v/>
      </c>
      <c r="AQ84" s="115" t="str">
        <f>IF(D84="","",IF(AX84="Distinctiveness","N/A",VLOOKUP(F84,'10. Condition and Temporal'!$B$6:$L$103,11,FALSE)))</f>
        <v/>
      </c>
      <c r="AR84" s="119" t="str">
        <f>IF(AQ84="","",IF(AQ84="N/A","1",VLOOKUP(AQ84,'11. Lists'!$I$47:$K$80,3,FALSE)))</f>
        <v/>
      </c>
      <c r="AS84" s="135" t="str">
        <f>IF(D84="","",IF(AX84="Condition","N/A",VLOOKUP(F84,'10. Condition and Temporal'!$B$6:$M$106,12,FALSE)))</f>
        <v/>
      </c>
      <c r="AT84" s="119" t="str">
        <f>IF(AS84="","",IF(AS84="N/A","1",VLOOKUP(AS84,'11. Lists'!$I$47:$K$80,3,FALSE)))</f>
        <v/>
      </c>
      <c r="AU84" s="118" t="str">
        <f>IF(D84="","",VLOOKUP(F84,'9. All Habitats + Multipliers'!$C$4:$K$102,8,FALSE))</f>
        <v/>
      </c>
      <c r="AV84" s="116" t="str">
        <f>IF(AU84="","",VLOOKUP(AU84,'11. Lists'!$J$35:$K$38,2,FALSE))</f>
        <v/>
      </c>
      <c r="AW84" s="115" t="str">
        <f>IF(D84="","",VLOOKUP(D84,'10. Condition and Temporal'!$B$6:$M$103,4,FALSE))</f>
        <v/>
      </c>
      <c r="AX84" s="116" t="str">
        <f t="shared" si="22"/>
        <v/>
      </c>
      <c r="AZ84" s="210"/>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8" t="str">
        <f t="shared" si="49"/>
        <v/>
      </c>
      <c r="BW84" s="95" t="s">
        <v>184</v>
      </c>
      <c r="BX84" s="95">
        <f>BT64</f>
        <v>0</v>
      </c>
    </row>
    <row r="85" spans="1:76" s="25" customFormat="1" ht="16.2" thickBot="1">
      <c r="B85" s="269">
        <v>20</v>
      </c>
      <c r="C85" s="139" t="str">
        <f t="shared" si="12"/>
        <v/>
      </c>
      <c r="D85" s="428" t="str">
        <f t="shared" si="43"/>
        <v/>
      </c>
      <c r="E85" s="171" t="str">
        <f t="shared" si="13"/>
        <v/>
      </c>
      <c r="F85" s="846"/>
      <c r="G85" s="847"/>
      <c r="H85" s="168" t="str">
        <f t="shared" si="14"/>
        <v/>
      </c>
      <c r="I85" s="429" t="str">
        <f t="shared" si="44"/>
        <v/>
      </c>
      <c r="J85" s="916" t="str">
        <f>IFERROR(IF(F85="","",VLOOKUP(F85,'10. Condition and Temporal'!$B$6:$F$103,5,FALSE)), "Error ▲")</f>
        <v/>
      </c>
      <c r="K85" s="917"/>
      <c r="L85" s="430" t="str">
        <f t="shared" si="45"/>
        <v/>
      </c>
      <c r="M85" s="907" t="str">
        <f t="shared" si="46"/>
        <v/>
      </c>
      <c r="N85" s="864"/>
      <c r="O85" s="75"/>
      <c r="P85" s="14"/>
      <c r="R85" s="733"/>
      <c r="T85" s="181" t="str">
        <f t="shared" si="15"/>
        <v/>
      </c>
      <c r="U85" s="115" t="str">
        <f t="shared" si="47"/>
        <v/>
      </c>
      <c r="V85" s="116" t="str">
        <f t="shared" si="16"/>
        <v/>
      </c>
      <c r="W85" s="115" t="str">
        <f t="shared" si="16"/>
        <v/>
      </c>
      <c r="X85" s="95" t="str">
        <f t="shared" si="16"/>
        <v/>
      </c>
      <c r="Y85" s="347"/>
      <c r="Z85" s="347"/>
      <c r="AA85" s="347"/>
      <c r="AB85" s="95" t="str">
        <f t="shared" si="17"/>
        <v/>
      </c>
      <c r="AC85" s="117" t="str">
        <f t="shared" si="18"/>
        <v/>
      </c>
      <c r="AD85" s="116" t="str">
        <f t="shared" si="50"/>
        <v/>
      </c>
      <c r="AE85" s="183" t="str">
        <f t="shared" si="48"/>
        <v/>
      </c>
      <c r="AF85" s="114" t="str">
        <f t="shared" si="19"/>
        <v/>
      </c>
      <c r="AG85" s="115" t="str">
        <f>IF(D85="","",VLOOKUP(F85,'9. All Habitats + Multipliers'!$C$4:$K$102,5,FALSE))</f>
        <v/>
      </c>
      <c r="AH85" s="116" t="str">
        <f>IF(AG85="","",VLOOKUP(AG85,'11. Lists'!$S$47:$U$50,2,FALSE))</f>
        <v/>
      </c>
      <c r="AI85" s="114" t="str">
        <f t="shared" si="20"/>
        <v/>
      </c>
      <c r="AJ85" s="98" t="str">
        <f>IF(AI85="","",VLOOKUP(AI85,'11. Lists'!$F$47:$G$51,2,FALSE))</f>
        <v/>
      </c>
      <c r="AK85" s="368"/>
      <c r="AL85" s="368"/>
      <c r="AM85" s="368"/>
      <c r="AN85" s="99" t="str">
        <f t="shared" si="21"/>
        <v/>
      </c>
      <c r="AO85" s="118" t="str">
        <f>IF(AN85="","",VLOOKUP(AN85,'11. Lists'!$F$36:$H$38,2,FALSE))</f>
        <v/>
      </c>
      <c r="AP85" s="116" t="str">
        <f>IF(AN85="","",VLOOKUP(AN85,'11. Lists'!$F$36:$H$38,3,FALSE))</f>
        <v/>
      </c>
      <c r="AQ85" s="115" t="str">
        <f>IF(D85="","",IF(AX85="Distinctiveness","N/A",VLOOKUP(F85,'10. Condition and Temporal'!$B$6:$L$103,11,FALSE)))</f>
        <v/>
      </c>
      <c r="AR85" s="119" t="str">
        <f>IF(AQ85="","",IF(AQ85="N/A","1",VLOOKUP(AQ85,'11. Lists'!$I$47:$K$80,3,FALSE)))</f>
        <v/>
      </c>
      <c r="AS85" s="135" t="str">
        <f>IF(D85="","",IF(AX85="Condition","N/A",VLOOKUP(F85,'10. Condition and Temporal'!$B$6:$M$106,12,FALSE)))</f>
        <v/>
      </c>
      <c r="AT85" s="119" t="str">
        <f>IF(AS85="","",IF(AS85="N/A","1",VLOOKUP(AS85,'11. Lists'!$I$47:$K$80,3,FALSE)))</f>
        <v/>
      </c>
      <c r="AU85" s="118" t="str">
        <f>IF(D85="","",VLOOKUP(F85,'9. All Habitats + Multipliers'!$C$4:$K$102,8,FALSE))</f>
        <v/>
      </c>
      <c r="AV85" s="116" t="str">
        <f>IF(AU85="","",VLOOKUP(AU85,'11. Lists'!$J$35:$K$38,2,FALSE))</f>
        <v/>
      </c>
      <c r="AW85" s="115" t="str">
        <f>IF(D85="","",VLOOKUP(D85,'10. Condition and Temporal'!$B$6:$M$103,4,FALSE))</f>
        <v/>
      </c>
      <c r="AX85" s="116" t="str">
        <f t="shared" si="22"/>
        <v/>
      </c>
      <c r="AZ85" s="210"/>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8" t="str">
        <f t="shared" si="49"/>
        <v/>
      </c>
      <c r="BW85" s="95" t="s">
        <v>185</v>
      </c>
      <c r="BX85" s="95">
        <f>BU64</f>
        <v>0</v>
      </c>
    </row>
    <row r="86" spans="1:76" s="25" customFormat="1" ht="15" thickBot="1">
      <c r="H86" s="272" t="s">
        <v>236</v>
      </c>
      <c r="I86" s="326">
        <f>SUM(I66:I85)</f>
        <v>0</v>
      </c>
      <c r="J86" s="422"/>
      <c r="L86" s="399">
        <f>SUM(L66:L85)</f>
        <v>0</v>
      </c>
      <c r="M86" s="862">
        <f>SUM(M66:N85)</f>
        <v>0</v>
      </c>
      <c r="N86" s="864"/>
      <c r="R86" s="733"/>
    </row>
    <row r="87" spans="1:76" s="25" customFormat="1">
      <c r="C87" s="26"/>
      <c r="R87" s="733"/>
    </row>
    <row r="88" spans="1:76" s="25" customFormat="1">
      <c r="R88" s="733"/>
    </row>
    <row r="89" spans="1:76" s="25" customFormat="1" ht="19.2" customHeight="1">
      <c r="R89" s="733"/>
    </row>
    <row r="90" spans="1:76" s="25" customFormat="1">
      <c r="R90" s="733"/>
    </row>
    <row r="91" spans="1:76" s="25" customFormat="1">
      <c r="A91" s="799" t="s">
        <v>200</v>
      </c>
      <c r="B91" s="799"/>
      <c r="C91" s="799"/>
      <c r="D91" s="799"/>
      <c r="E91" s="799"/>
      <c r="F91" s="799"/>
      <c r="G91" s="799"/>
      <c r="H91" s="799"/>
      <c r="I91" s="799"/>
      <c r="J91" s="799"/>
      <c r="K91" s="799"/>
      <c r="L91" s="799"/>
      <c r="M91" s="799"/>
      <c r="N91" s="799"/>
      <c r="O91" s="799"/>
      <c r="P91" s="799"/>
      <c r="Q91" s="799"/>
      <c r="R91" s="733"/>
    </row>
    <row r="92" spans="1:76" s="25" customFormat="1">
      <c r="A92" s="799"/>
      <c r="B92" s="799"/>
      <c r="C92" s="799"/>
      <c r="D92" s="799"/>
      <c r="E92" s="799"/>
      <c r="F92" s="799"/>
      <c r="G92" s="799"/>
      <c r="H92" s="799"/>
      <c r="I92" s="799"/>
      <c r="J92" s="799"/>
      <c r="K92" s="799"/>
      <c r="L92" s="799"/>
      <c r="M92" s="799"/>
      <c r="N92" s="799"/>
      <c r="O92" s="799"/>
      <c r="P92" s="799"/>
      <c r="Q92" s="799"/>
      <c r="R92" s="733"/>
    </row>
    <row r="93" spans="1:76" s="25" customFormat="1">
      <c r="A93" s="799"/>
      <c r="B93" s="799"/>
      <c r="C93" s="799"/>
      <c r="D93" s="799"/>
      <c r="E93" s="799"/>
      <c r="F93" s="799"/>
      <c r="G93" s="799"/>
      <c r="H93" s="799"/>
      <c r="I93" s="799"/>
      <c r="J93" s="799"/>
      <c r="K93" s="799"/>
      <c r="L93" s="799"/>
      <c r="M93" s="799"/>
      <c r="N93" s="799"/>
      <c r="O93" s="799"/>
      <c r="P93" s="799"/>
      <c r="Q93" s="799"/>
      <c r="R93" s="733"/>
    </row>
    <row r="94" spans="1:76" s="25" customFormat="1">
      <c r="R94" s="733"/>
    </row>
    <row r="95" spans="1:76" s="25" customFormat="1" ht="21">
      <c r="B95" s="57" t="s">
        <v>201</v>
      </c>
      <c r="D95" s="26"/>
      <c r="E95" s="26"/>
      <c r="F95" s="26"/>
      <c r="G95" s="26"/>
      <c r="R95" s="733"/>
    </row>
    <row r="96" spans="1:76" s="25" customFormat="1" ht="15" thickBot="1">
      <c r="R96" s="733"/>
    </row>
    <row r="97" spans="2:18" s="25" customFormat="1" ht="36.6" customHeight="1" thickBot="1">
      <c r="B97" s="911" t="s">
        <v>241</v>
      </c>
      <c r="C97" s="912"/>
      <c r="D97" s="913"/>
      <c r="E97" s="914" t="str" cm="1">
        <f t="array" aca="1" ref="E97" ca="1">IF(OR(H103:H113="No ▲"),"Error - Trading Rules Not Satisfied ▲","Trading Rules Satisfied ✓")</f>
        <v>Error - Trading Rules Not Satisfied ▲</v>
      </c>
      <c r="F97" s="914"/>
      <c r="G97" s="914"/>
      <c r="H97" s="914"/>
      <c r="I97" s="915"/>
      <c r="J97" s="161">
        <f ca="1">IFERROR(FIND("Error",E97),0)</f>
        <v>1</v>
      </c>
      <c r="R97" s="733"/>
    </row>
    <row r="98" spans="2:18" s="25" customFormat="1">
      <c r="R98" s="733"/>
    </row>
    <row r="99" spans="2:18" s="25" customFormat="1" ht="21">
      <c r="B99" s="57" t="s">
        <v>204</v>
      </c>
      <c r="R99" s="733"/>
    </row>
    <row r="100" spans="2:18" s="25" customFormat="1">
      <c r="R100" s="733"/>
    </row>
    <row r="101" spans="2:18" s="25" customFormat="1" ht="15" thickBot="1">
      <c r="R101" s="733"/>
    </row>
    <row r="102" spans="2:18" s="25" customFormat="1" ht="51" customHeight="1" thickBot="1">
      <c r="B102" s="464" t="s">
        <v>142</v>
      </c>
      <c r="C102" s="459" t="s">
        <v>94</v>
      </c>
      <c r="D102" s="459" t="s">
        <v>59</v>
      </c>
      <c r="E102" s="459" t="s">
        <v>207</v>
      </c>
      <c r="F102" s="459" t="s">
        <v>208</v>
      </c>
      <c r="G102" s="459" t="s">
        <v>209</v>
      </c>
      <c r="H102" s="449" t="s">
        <v>210</v>
      </c>
      <c r="I102" s="438"/>
      <c r="R102" s="733"/>
    </row>
    <row r="103" spans="2:18" s="25" customFormat="1" ht="30.75" customHeight="1">
      <c r="B103" s="851" t="s">
        <v>235</v>
      </c>
      <c r="C103" s="854" t="s">
        <v>214</v>
      </c>
      <c r="D103" s="460" t="s">
        <v>242</v>
      </c>
      <c r="E103" s="461">
        <f ca="1">SUMIF($D$11:$E$30,D103,$L$11:$L$30)</f>
        <v>0</v>
      </c>
      <c r="F103" s="461">
        <f ca="1">IF($I$31+$I$59+$I$86=0,0,SUMIF($D$39:$D$58,D103,$L$39:$N$58)+SUMIF($F$66:$G$85,D103,$L$66:$L$85)+SUMIF($D$11:$E$30,D103,$AE$11:$AE$30))</f>
        <v>0</v>
      </c>
      <c r="G103" s="461">
        <f ca="1">$F$103-$E$103</f>
        <v>0</v>
      </c>
      <c r="H103" s="918" t="str">
        <f ca="1">IF(G108&gt;=0, "Yes ✓", "No ▲")</f>
        <v>No ▲</v>
      </c>
      <c r="I103" s="438"/>
      <c r="R103" s="733"/>
    </row>
    <row r="104" spans="2:18" s="25" customFormat="1" ht="30.75" customHeight="1">
      <c r="B104" s="852"/>
      <c r="C104" s="855"/>
      <c r="D104" s="440" t="s">
        <v>243</v>
      </c>
      <c r="E104" s="441">
        <f t="shared" ref="E104:E113" ca="1" si="51">SUMIF($D$11:$E$30,D104,$L$11:$L$30)</f>
        <v>0</v>
      </c>
      <c r="F104" s="441">
        <f t="shared" ref="F104:F113" ca="1" si="52">IF($I$31+$I$59+$I$86=0,0,SUMIF($D$39:$D$58,D104,$L$39:$N$58)+SUMIF($F$66:$G$85,D104,$L$66:$L$85)+SUMIF($D$11:$E$30,D104,$AE$11:$AE$30))</f>
        <v>0</v>
      </c>
      <c r="G104" s="441">
        <f ca="1">$F$104-$E$104</f>
        <v>0</v>
      </c>
      <c r="H104" s="919"/>
      <c r="I104" s="438"/>
      <c r="R104" s="733"/>
    </row>
    <row r="105" spans="2:18" s="25" customFormat="1" ht="30.75" customHeight="1">
      <c r="B105" s="852"/>
      <c r="C105" s="855"/>
      <c r="D105" s="440" t="s">
        <v>244</v>
      </c>
      <c r="E105" s="441">
        <f t="shared" ca="1" si="51"/>
        <v>0.04</v>
      </c>
      <c r="F105" s="441">
        <f t="shared" ca="1" si="52"/>
        <v>0</v>
      </c>
      <c r="G105" s="441">
        <f ca="1">$F$105-$E$105</f>
        <v>-0.04</v>
      </c>
      <c r="H105" s="919"/>
      <c r="I105" s="438"/>
      <c r="R105" s="733"/>
    </row>
    <row r="106" spans="2:18" s="25" customFormat="1" ht="30.75" customHeight="1">
      <c r="B106" s="852"/>
      <c r="C106" s="855"/>
      <c r="D106" s="440" t="s">
        <v>245</v>
      </c>
      <c r="E106" s="441">
        <f t="shared" ca="1" si="51"/>
        <v>0</v>
      </c>
      <c r="F106" s="441">
        <f t="shared" ca="1" si="52"/>
        <v>0</v>
      </c>
      <c r="G106" s="441">
        <f ca="1">$F$106-$E$106</f>
        <v>0</v>
      </c>
      <c r="H106" s="919"/>
      <c r="I106" s="438"/>
      <c r="R106" s="733"/>
    </row>
    <row r="107" spans="2:18" s="25" customFormat="1" ht="30.75" customHeight="1">
      <c r="B107" s="852"/>
      <c r="C107" s="855"/>
      <c r="D107" s="440" t="s">
        <v>246</v>
      </c>
      <c r="E107" s="441">
        <f t="shared" ca="1" si="51"/>
        <v>0</v>
      </c>
      <c r="F107" s="441">
        <f t="shared" ca="1" si="52"/>
        <v>0</v>
      </c>
      <c r="G107" s="441">
        <f ca="1">$F$107-$E$107</f>
        <v>0</v>
      </c>
      <c r="H107" s="919"/>
      <c r="I107" s="161"/>
      <c r="R107" s="733"/>
    </row>
    <row r="108" spans="2:18" s="25" customFormat="1" ht="30.75" customHeight="1" thickBot="1">
      <c r="B108" s="852"/>
      <c r="C108" s="856"/>
      <c r="D108" s="452" t="s">
        <v>247</v>
      </c>
      <c r="E108" s="453">
        <f ca="1">SUM($E$103:$E$107)</f>
        <v>0.04</v>
      </c>
      <c r="F108" s="453">
        <f ca="1">SUM($F$103:$F$107)</f>
        <v>0</v>
      </c>
      <c r="G108" s="453">
        <f ca="1">SUM($G$103:$G$107)</f>
        <v>-0.04</v>
      </c>
      <c r="H108" s="920"/>
      <c r="I108" s="161">
        <f ca="1">IF($H$103="No ▲",1,0)</f>
        <v>1</v>
      </c>
      <c r="R108" s="733"/>
    </row>
    <row r="109" spans="2:18" s="25" customFormat="1" ht="30.75" customHeight="1">
      <c r="B109" s="852"/>
      <c r="C109" s="854" t="s">
        <v>212</v>
      </c>
      <c r="D109" s="460" t="s">
        <v>248</v>
      </c>
      <c r="E109" s="461">
        <f t="shared" ca="1" si="51"/>
        <v>0</v>
      </c>
      <c r="F109" s="461">
        <f t="shared" ca="1" si="52"/>
        <v>0</v>
      </c>
      <c r="G109" s="461">
        <f ca="1">$F$109-$E$109</f>
        <v>0</v>
      </c>
      <c r="H109" s="918" t="str">
        <f ca="1">IF(G112&gt;=0,"Yes ✓",IF(E114&gt;=0,"Yes ✓","No ▲"))</f>
        <v>Yes ✓</v>
      </c>
      <c r="I109" s="161"/>
      <c r="R109" s="733"/>
    </row>
    <row r="110" spans="2:18" s="25" customFormat="1" ht="30.75" customHeight="1">
      <c r="B110" s="852"/>
      <c r="C110" s="855"/>
      <c r="D110" s="440" t="s">
        <v>249</v>
      </c>
      <c r="E110" s="441">
        <f t="shared" ca="1" si="51"/>
        <v>0</v>
      </c>
      <c r="F110" s="441">
        <f t="shared" ca="1" si="52"/>
        <v>0</v>
      </c>
      <c r="G110" s="441">
        <f ca="1">$F$110-$E$110</f>
        <v>0</v>
      </c>
      <c r="H110" s="919"/>
      <c r="I110" s="161"/>
      <c r="R110" s="733"/>
    </row>
    <row r="111" spans="2:18" s="25" customFormat="1" ht="30.75" customHeight="1">
      <c r="B111" s="852"/>
      <c r="C111" s="855"/>
      <c r="D111" s="440" t="s">
        <v>250</v>
      </c>
      <c r="E111" s="441">
        <f t="shared" ca="1" si="51"/>
        <v>0</v>
      </c>
      <c r="F111" s="441">
        <f t="shared" ca="1" si="52"/>
        <v>0</v>
      </c>
      <c r="G111" s="441">
        <f ca="1">$F$111-$E$111</f>
        <v>0</v>
      </c>
      <c r="H111" s="919"/>
      <c r="I111" s="161"/>
      <c r="R111" s="733"/>
    </row>
    <row r="112" spans="2:18" s="25" customFormat="1" ht="30.75" customHeight="1" thickBot="1">
      <c r="B112" s="852"/>
      <c r="C112" s="856"/>
      <c r="D112" s="452" t="s">
        <v>247</v>
      </c>
      <c r="E112" s="453">
        <f ca="1">SUM($E$109:$E$111)</f>
        <v>0</v>
      </c>
      <c r="F112" s="453">
        <f ca="1">SUM($F$109:$F$111)</f>
        <v>0</v>
      </c>
      <c r="G112" s="453">
        <f ca="1">SUM($G$109:$G$111)</f>
        <v>0</v>
      </c>
      <c r="H112" s="920"/>
      <c r="I112" s="161">
        <f ca="1">IF($H$109="No ▲",1,0)</f>
        <v>0</v>
      </c>
      <c r="R112" s="733"/>
    </row>
    <row r="113" spans="2:18" s="25" customFormat="1" ht="30.75" customHeight="1" thickBot="1">
      <c r="B113" s="853"/>
      <c r="C113" s="454" t="s">
        <v>251</v>
      </c>
      <c r="D113" s="462" t="s">
        <v>252</v>
      </c>
      <c r="E113" s="463">
        <f t="shared" ca="1" si="51"/>
        <v>0</v>
      </c>
      <c r="F113" s="463">
        <f t="shared" ca="1" si="52"/>
        <v>0</v>
      </c>
      <c r="G113" s="463">
        <f ca="1">$F$113-$E$113</f>
        <v>0</v>
      </c>
      <c r="H113" s="457" t="str">
        <f ca="1">IF(G113&gt;=0,"Yes✓",IF(F114&gt;=0,"Yes ✓","No ▲"))</f>
        <v>Yes✓</v>
      </c>
      <c r="I113" s="161">
        <f ca="1">IF($H$113="No ▲",1,0)</f>
        <v>0</v>
      </c>
      <c r="R113" s="733"/>
    </row>
    <row r="114" spans="2:18" s="25" customFormat="1" ht="15" thickBot="1">
      <c r="E114" s="465">
        <f ca="1">G108+G112</f>
        <v>-0.04</v>
      </c>
      <c r="F114" s="442">
        <f ca="1">IF(G108&lt;0,0,($G$108+$G$112+$G$113))</f>
        <v>0</v>
      </c>
      <c r="I114" s="438"/>
      <c r="R114" s="733"/>
    </row>
    <row r="115" spans="2:18" s="25" customFormat="1" ht="24.75" customHeight="1">
      <c r="B115" s="857" t="s">
        <v>253</v>
      </c>
      <c r="C115" s="630"/>
      <c r="D115" s="630"/>
      <c r="E115" s="630"/>
      <c r="F115" s="445">
        <f ca="1">$G$108</f>
        <v>-0.04</v>
      </c>
      <c r="G115" s="442">
        <f ca="1">IF($G$108&lt;=0,0,($G$108+$G$112))</f>
        <v>0</v>
      </c>
      <c r="I115" s="438"/>
      <c r="R115" s="733"/>
    </row>
    <row r="116" spans="2:18" s="25" customFormat="1" ht="21.75" customHeight="1">
      <c r="B116" s="848" t="s">
        <v>254</v>
      </c>
      <c r="C116" s="849"/>
      <c r="D116" s="849"/>
      <c r="E116" s="849"/>
      <c r="F116" s="447">
        <f ca="1">IF($G$108&gt;0,($G$112+$G$108),$G$112)</f>
        <v>0</v>
      </c>
      <c r="G116" s="442">
        <f ca="1">IF($G$108&lt;=0,0,($G$108+$G$112+$G$113))</f>
        <v>0</v>
      </c>
      <c r="R116" s="733"/>
    </row>
    <row r="117" spans="2:18" s="25" customFormat="1" ht="24" customHeight="1" thickBot="1">
      <c r="B117" s="850" t="s">
        <v>255</v>
      </c>
      <c r="C117" s="628"/>
      <c r="D117" s="628"/>
      <c r="E117" s="628"/>
      <c r="F117" s="446">
        <f ca="1">IF($F$116&gt;0,($F$116+$G$113),$G$113)</f>
        <v>0</v>
      </c>
      <c r="G117" s="442"/>
      <c r="R117" s="733"/>
    </row>
    <row r="118" spans="2:18" s="25" customFormat="1">
      <c r="G118" s="442"/>
      <c r="R118" s="733"/>
    </row>
    <row r="119" spans="2:18" s="25" customFormat="1">
      <c r="R119" s="733"/>
    </row>
    <row r="120" spans="2:18" s="25" customFormat="1">
      <c r="R120" s="733"/>
    </row>
    <row r="121" spans="2:18" s="25" customFormat="1">
      <c r="R121" s="733"/>
    </row>
    <row r="122" spans="2:18" s="25" customFormat="1">
      <c r="R122" s="733"/>
    </row>
    <row r="123" spans="2:18" s="25" customFormat="1">
      <c r="R123" s="733"/>
    </row>
    <row r="124" spans="2:18" s="25" customFormat="1">
      <c r="R124" s="733"/>
    </row>
    <row r="125" spans="2:18" s="25" customFormat="1">
      <c r="R125" s="733"/>
    </row>
    <row r="126" spans="2:18" s="25" customFormat="1">
      <c r="R126" s="733"/>
    </row>
    <row r="127" spans="2:18" s="25" customFormat="1">
      <c r="R127" s="733"/>
    </row>
  </sheetData>
  <sheetProtection algorithmName="SHA-512" hashValue="rb1sFu78sV1Iy5iQ5N0pwfYiq6ZFpT8TXLzbemx4XNWWscJnOA5YYQ7KGSVscBVi75Sm7siAAsdUZ5FzrrO4VA==" saltValue="BiVdvE71Hi3w7CrQkTPBL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formula1>INDIRECT(SUBSTITUTE(C11," ",""))</formula1>
    </dataValidation>
    <dataValidation type="list" allowBlank="1" showInputMessage="1" showErrorMessage="1" sqref="F66:G85">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'11. Lists'!$F$36:$F$37</xm:f>
          </x14:formula1>
          <xm:sqref>H39:H58 H66:H85 F11:H30</xm:sqref>
        </x14:dataValidation>
        <x14:dataValidation type="list" allowBlank="1" showInputMessage="1" showErrorMessage="1">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33CC"/>
    <pageSetUpPr fitToPage="1"/>
  </sheetPr>
  <dimension ref="A1:CC140"/>
  <sheetViews>
    <sheetView topLeftCell="F7" zoomScaleNormal="100" workbookViewId="0">
      <selection activeCell="I14" sqref="I11:I14"/>
    </sheetView>
  </sheetViews>
  <sheetFormatPr defaultColWidth="0" defaultRowHeight="14.4" zeroHeight="1"/>
  <cols>
    <col min="1" max="1" width="4.5546875" customWidth="1"/>
    <col min="2" max="2" width="14.77734375" customWidth="1"/>
    <col min="3" max="3" width="24.44140625" customWidth="1"/>
    <col min="4" max="4" width="40.21875" customWidth="1"/>
    <col min="5" max="5" width="27" customWidth="1"/>
    <col min="6" max="6" width="20.5546875" customWidth="1"/>
    <col min="7" max="7" width="33.21875" customWidth="1"/>
    <col min="8" max="8" width="35.21875"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7.21875" customWidth="1"/>
    <col min="20" max="20" width="14.4414062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35.77734375" customWidth="1"/>
    <col min="35" max="35" width="76.21875" customWidth="1"/>
    <col min="36" max="36" width="23.5546875" style="477" customWidth="1"/>
    <col min="37" max="37" width="4.44140625" style="477" hidden="1" customWidth="1"/>
    <col min="38" max="38" width="5.21875" style="477" hidden="1" customWidth="1"/>
    <col min="39" max="39" width="6.77734375" style="477" hidden="1" customWidth="1"/>
    <col min="40" max="40" width="12.21875" style="477"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37.5546875" customWidth="1"/>
    <col min="50" max="50" width="68.21875" customWidth="1"/>
    <col min="51" max="51" width="26.5546875" customWidth="1"/>
    <col min="52" max="52" width="24.44140625" customWidth="1"/>
    <col min="53" max="81" width="8.77734375" customWidth="1"/>
    <col min="82" max="16384" width="8.77734375" hidden="1"/>
  </cols>
  <sheetData>
    <row r="1" spans="1:44" s="25" customFormat="1" ht="15.75" customHeight="1" thickBot="1">
      <c r="I1" s="52"/>
      <c r="J1" s="52"/>
      <c r="K1" s="52"/>
      <c r="L1" s="52"/>
      <c r="M1" s="52"/>
      <c r="N1" s="52"/>
      <c r="O1" s="158" t="s">
        <v>63</v>
      </c>
      <c r="P1" s="281">
        <f>IFERROR(SUM(AE11:AE30), "Error ▲")</f>
        <v>0</v>
      </c>
      <c r="R1" s="733" t="s">
        <v>64</v>
      </c>
      <c r="T1" s="26"/>
      <c r="AJ1" s="161"/>
      <c r="AK1" s="161"/>
      <c r="AL1" s="161"/>
      <c r="AM1" s="161"/>
      <c r="AN1" s="161"/>
    </row>
    <row r="2" spans="1:44" s="25" customFormat="1" ht="19.95" customHeight="1">
      <c r="B2" s="80" t="s">
        <v>65</v>
      </c>
      <c r="C2" s="696" t="str">
        <f>IF('2. Site Details'!D4="","Enter site name on 2. Site Details",'2. Site Details'!D4)</f>
        <v>Lantern Courtyard, The Barn, The Street, Bramley, RG26 5DE</v>
      </c>
      <c r="D2" s="697"/>
      <c r="F2" s="762" t="s">
        <v>256</v>
      </c>
      <c r="G2" s="763"/>
      <c r="H2" s="764"/>
      <c r="I2" s="81"/>
      <c r="J2" s="776" t="str" cm="1">
        <f t="array" aca="1" ref="J2" ca="1">IFERROR(IF(OR((ISNUMBER(SEARCH("▲",A7:Q101)))),"Input Errors Present On Sheet - Red Cells Or ▲ Highlight Errors","All Key Rules Satisfied ✓ "),"Technical Errors On Sheet ▲")</f>
        <v xml:space="preserve">All Key Rules Satisfied ✓ </v>
      </c>
      <c r="K2" s="776"/>
      <c r="L2" s="776"/>
      <c r="M2" s="776"/>
      <c r="N2" s="81"/>
      <c r="O2" s="83" t="s">
        <v>67</v>
      </c>
      <c r="P2" s="281">
        <f>IFERROR(N31, "Error ▲")</f>
        <v>0</v>
      </c>
      <c r="R2" s="733"/>
      <c r="T2" s="26"/>
      <c r="AJ2" s="161"/>
      <c r="AK2" s="161"/>
      <c r="AL2" s="161"/>
      <c r="AM2" s="161"/>
      <c r="AN2" s="161"/>
    </row>
    <row r="3" spans="1:44" s="25" customFormat="1" ht="19.95" customHeight="1" thickBot="1">
      <c r="B3" s="82" t="s">
        <v>16</v>
      </c>
      <c r="C3" s="698" t="s">
        <v>257</v>
      </c>
      <c r="D3" s="699"/>
      <c r="F3" s="765"/>
      <c r="G3" s="766"/>
      <c r="H3" s="767"/>
      <c r="I3" s="81"/>
      <c r="J3" s="776"/>
      <c r="K3" s="776"/>
      <c r="L3" s="776"/>
      <c r="M3" s="776"/>
      <c r="N3" s="81"/>
      <c r="O3" s="83" t="s">
        <v>69</v>
      </c>
      <c r="P3" s="281">
        <f>IFERROR(L59, "Error ▲")</f>
        <v>0</v>
      </c>
      <c r="R3" s="733"/>
      <c r="T3" s="26"/>
      <c r="AJ3" s="161"/>
      <c r="AK3" s="161"/>
      <c r="AL3" s="161"/>
      <c r="AM3" s="161"/>
      <c r="AN3" s="161"/>
    </row>
    <row r="4" spans="1:44" s="25" customFormat="1" ht="19.95" customHeight="1">
      <c r="B4" s="84"/>
      <c r="C4" s="84"/>
      <c r="D4" s="84"/>
      <c r="F4" s="765"/>
      <c r="G4" s="766"/>
      <c r="H4" s="767"/>
      <c r="I4" s="81"/>
      <c r="J4" s="776"/>
      <c r="K4" s="776"/>
      <c r="L4" s="776"/>
      <c r="M4" s="776"/>
      <c r="N4" s="81"/>
      <c r="O4" s="83" t="s">
        <v>70</v>
      </c>
      <c r="P4" s="281">
        <f>IFERROR(L86, "Error ▲")</f>
        <v>0</v>
      </c>
      <c r="R4" s="733"/>
      <c r="T4" s="26"/>
      <c r="AJ4" s="161"/>
      <c r="AK4" s="161"/>
      <c r="AL4" s="161"/>
      <c r="AM4" s="161"/>
      <c r="AN4" s="161"/>
    </row>
    <row r="5" spans="1:44" s="25" customFormat="1" ht="19.95" customHeight="1" thickBot="1">
      <c r="A5" s="85"/>
      <c r="F5" s="765"/>
      <c r="G5" s="766"/>
      <c r="H5" s="767"/>
      <c r="I5" s="81"/>
      <c r="J5" s="776"/>
      <c r="K5" s="776"/>
      <c r="L5" s="776"/>
      <c r="M5" s="776"/>
      <c r="N5" s="81"/>
      <c r="O5" s="86" t="s">
        <v>71</v>
      </c>
      <c r="P5" s="282">
        <f>IFERROR(P1+L59+L86-L31, "Error ▲")</f>
        <v>0</v>
      </c>
      <c r="R5" s="733"/>
      <c r="T5" s="26"/>
      <c r="AJ5" s="161"/>
      <c r="AK5" s="161"/>
      <c r="AL5" s="161"/>
      <c r="AM5" s="161"/>
      <c r="AN5" s="161"/>
    </row>
    <row r="6" spans="1:44" s="25" customFormat="1" ht="13.2" customHeight="1" thickBot="1">
      <c r="A6" s="85"/>
      <c r="F6" s="768"/>
      <c r="G6" s="769"/>
      <c r="H6" s="770"/>
      <c r="I6" s="52"/>
      <c r="J6" s="52"/>
      <c r="K6" s="26"/>
      <c r="L6" s="52"/>
      <c r="M6" s="52"/>
      <c r="N6" s="52"/>
      <c r="O6" s="87"/>
      <c r="P6" s="26"/>
      <c r="R6" s="733"/>
      <c r="T6" s="26"/>
      <c r="AJ6" s="161"/>
      <c r="AK6" s="161"/>
      <c r="AL6" s="161"/>
      <c r="AM6" s="161"/>
      <c r="AN6" s="161"/>
      <c r="AR6" s="161"/>
    </row>
    <row r="7" spans="1:44" s="25" customFormat="1" ht="19.2" customHeight="1">
      <c r="B7" s="57" t="s">
        <v>72</v>
      </c>
      <c r="D7" s="88"/>
      <c r="H7" s="26"/>
      <c r="K7" s="26"/>
      <c r="L7" s="504"/>
      <c r="M7" s="30"/>
      <c r="N7" s="30"/>
      <c r="R7" s="733"/>
      <c r="T7" s="26"/>
      <c r="AJ7" s="161"/>
      <c r="AK7" s="161"/>
      <c r="AL7" s="161"/>
      <c r="AM7" s="161"/>
      <c r="AN7" s="161"/>
      <c r="AR7" s="161"/>
    </row>
    <row r="8" spans="1:44" s="25" customFormat="1" ht="10.95" customHeight="1" thickBot="1">
      <c r="A8" s="89"/>
      <c r="R8" s="733"/>
      <c r="AJ8" s="161"/>
      <c r="AK8" s="161"/>
      <c r="AL8" s="161"/>
      <c r="AM8" s="161"/>
      <c r="AN8" s="161"/>
      <c r="AR8" s="161"/>
    </row>
    <row r="9" spans="1:44" s="25" customFormat="1" ht="29.55" customHeight="1" thickBot="1">
      <c r="A9" s="89"/>
      <c r="B9" s="711" t="s">
        <v>58</v>
      </c>
      <c r="C9" s="700" t="s">
        <v>73</v>
      </c>
      <c r="D9" s="710"/>
      <c r="E9" s="702"/>
      <c r="F9" s="646" t="s">
        <v>74</v>
      </c>
      <c r="G9" s="774"/>
      <c r="H9" s="647"/>
      <c r="I9" s="700" t="s">
        <v>258</v>
      </c>
      <c r="J9" s="710"/>
      <c r="K9" s="702"/>
      <c r="L9" s="788" t="s">
        <v>76</v>
      </c>
      <c r="M9" s="789"/>
      <c r="N9" s="790"/>
      <c r="O9" s="788" t="s">
        <v>77</v>
      </c>
      <c r="P9" s="790"/>
      <c r="R9" s="733"/>
      <c r="T9" s="676" t="s">
        <v>78</v>
      </c>
      <c r="U9" s="677"/>
      <c r="V9" s="678"/>
      <c r="W9" s="933" t="s">
        <v>79</v>
      </c>
      <c r="X9" s="934"/>
      <c r="Y9" s="792"/>
      <c r="Z9" s="792"/>
      <c r="AA9" s="792"/>
      <c r="AB9" s="933" t="s">
        <v>80</v>
      </c>
      <c r="AC9" s="935"/>
      <c r="AD9" s="934"/>
      <c r="AE9" s="676" t="s">
        <v>81</v>
      </c>
      <c r="AF9" s="677"/>
      <c r="AG9" s="678"/>
      <c r="AH9" s="676" t="s">
        <v>82</v>
      </c>
      <c r="AI9" s="868" t="s">
        <v>83</v>
      </c>
      <c r="AJ9" s="921" t="s">
        <v>259</v>
      </c>
      <c r="AK9" s="161"/>
      <c r="AL9" s="161"/>
      <c r="AM9" s="161"/>
      <c r="AN9" s="439"/>
      <c r="AR9" s="161"/>
    </row>
    <row r="10" spans="1:44" s="25" customFormat="1" ht="31.8" thickBot="1">
      <c r="A10" s="89"/>
      <c r="B10" s="659"/>
      <c r="C10" s="86" t="s">
        <v>84</v>
      </c>
      <c r="D10" s="888" t="s">
        <v>85</v>
      </c>
      <c r="E10" s="889"/>
      <c r="F10" s="928"/>
      <c r="G10" s="929"/>
      <c r="H10" s="930"/>
      <c r="I10" s="86" t="s">
        <v>230</v>
      </c>
      <c r="J10" s="201" t="s">
        <v>231</v>
      </c>
      <c r="K10" s="90" t="s">
        <v>232</v>
      </c>
      <c r="L10" s="86" t="s">
        <v>233</v>
      </c>
      <c r="M10" s="201" t="s">
        <v>234</v>
      </c>
      <c r="N10" s="90" t="s">
        <v>91</v>
      </c>
      <c r="O10" s="86" t="s">
        <v>92</v>
      </c>
      <c r="P10" s="90" t="s">
        <v>93</v>
      </c>
      <c r="R10" s="733"/>
      <c r="T10" s="777" t="s">
        <v>94</v>
      </c>
      <c r="U10" s="778"/>
      <c r="V10" s="92" t="s">
        <v>95</v>
      </c>
      <c r="W10" s="377" t="s">
        <v>96</v>
      </c>
      <c r="X10" s="373" t="s">
        <v>95</v>
      </c>
      <c r="Y10" s="375"/>
      <c r="Z10" s="369"/>
      <c r="AA10" s="369"/>
      <c r="AB10" s="358" t="s">
        <v>80</v>
      </c>
      <c r="AC10" s="358" t="s">
        <v>80</v>
      </c>
      <c r="AD10" s="373" t="s">
        <v>97</v>
      </c>
      <c r="AE10" s="91" t="s">
        <v>98</v>
      </c>
      <c r="AF10" s="49" t="s">
        <v>99</v>
      </c>
      <c r="AG10" s="92" t="s">
        <v>100</v>
      </c>
      <c r="AH10" s="777"/>
      <c r="AI10" s="932"/>
      <c r="AJ10" s="921"/>
      <c r="AK10" s="161"/>
      <c r="AL10" s="161"/>
      <c r="AM10" s="161"/>
      <c r="AO10" s="439"/>
      <c r="AR10" s="161" t="s">
        <v>260</v>
      </c>
    </row>
    <row r="11" spans="1:44" s="25" customFormat="1" ht="15.6">
      <c r="A11" s="89"/>
      <c r="B11" s="274">
        <v>1</v>
      </c>
      <c r="C11" s="141" t="s">
        <v>261</v>
      </c>
      <c r="D11" s="818"/>
      <c r="E11" s="818"/>
      <c r="F11" s="931"/>
      <c r="G11" s="931"/>
      <c r="H11" s="931"/>
      <c r="I11" s="478"/>
      <c r="J11" s="307"/>
      <c r="K11" s="308"/>
      <c r="L11" s="473" t="str">
        <f>IF(D11="","",IFERROR(IF(I11="","",((I11/1000)*V11*X11)*AD11*AJ11),"This intervention is not permitted within the SSM ▲"))</f>
        <v/>
      </c>
      <c r="M11" s="416" t="str">
        <f>IF(I11="","",IF(J11+K11&gt;I11,"Length Error ▲",I11-J11-K11))</f>
        <v/>
      </c>
      <c r="N11" s="473" t="str">
        <f>IFERROR(IF(I11="","",IF(M11="Length Error ▲","Length Error ▲",((M11/1000)*V11*X11)*AD11*AJ11)),"This intervention is not permitted within the SSM ▲")</f>
        <v/>
      </c>
      <c r="O11" s="68"/>
      <c r="P11" s="148"/>
      <c r="R11" s="733"/>
      <c r="T11" s="779" t="str">
        <f>IF(D11="","",VLOOKUP(D11,'9. All Habitats + Multipliers'!$C$4:$K$102,5,FALSE))</f>
        <v/>
      </c>
      <c r="U11" s="780"/>
      <c r="V11" s="96" t="str">
        <f>IF(T11="","",VLOOKUP(T11,'11. Lists'!$B$47:$D$49,2,FALSE))</f>
        <v/>
      </c>
      <c r="W11" s="93" t="str">
        <f>IF(D11="","",VLOOKUP(D11,'10. Condition and Temporal'!$B$6:$C$103,2,FALSE))</f>
        <v/>
      </c>
      <c r="X11" s="96" t="str">
        <f>IF(W11="","",VLOOKUP(W11,'11. Lists'!$F$47:$G$51,2,FALSE))</f>
        <v/>
      </c>
      <c r="Y11" s="376"/>
      <c r="Z11" s="347"/>
      <c r="AA11" s="374"/>
      <c r="AB11" s="95" t="str">
        <f>IF(F11="","",F11)</f>
        <v/>
      </c>
      <c r="AC11" s="95" t="str">
        <f>IF(AB11="","",VLOOKUP(AB11,'11. Lists'!$F$36:$H$38,2,FALSE))</f>
        <v/>
      </c>
      <c r="AD11" s="94" t="str">
        <f>IF(AB11="","",VLOOKUP(AB11,'11. Lists'!$F$36:$H$38,3,FALSE))</f>
        <v/>
      </c>
      <c r="AE11" s="302" t="str">
        <f>IF(D11="","",((J11/1000)*V11*X11)*AD11)</f>
        <v/>
      </c>
      <c r="AF11" s="303" t="str">
        <f>IF(D11="","",((K11/1000)*V11*X11)*AD11*AJ11)</f>
        <v/>
      </c>
      <c r="AG11" s="304" t="str">
        <f>IF(D11="","",M11)</f>
        <v/>
      </c>
      <c r="AH11" s="93" t="str">
        <f>IF(T11="","",VLOOKUP(T11,'11. Lists'!$B$47:$D$49,3,FALSE))</f>
        <v/>
      </c>
      <c r="AI11" s="348" t="str">
        <f>IF(D11="","",VLOOKUP(D11,'10. Condition and Temporal'!$B$6:$L$103,4,FALSE))</f>
        <v/>
      </c>
      <c r="AJ11" s="483" t="str" cm="1">
        <f t="array" ref="AJ11:AK30">IF($D$11:$E$30="Culvert","0.68","1")</f>
        <v>1</v>
      </c>
      <c r="AK11" s="161" t="str">
        <v>1</v>
      </c>
      <c r="AL11" s="161"/>
      <c r="AM11" s="161"/>
      <c r="AN11" s="439"/>
      <c r="AR11" s="161" t="str">
        <f>IF(D11="","",IFERROR(IF(I11="","",((I11/1000)*V11*X11)*AD11),"This intervention is not permitted within the SSM ▲"))</f>
        <v/>
      </c>
    </row>
    <row r="12" spans="1:44" s="25" customFormat="1" ht="15.6">
      <c r="B12" s="268">
        <v>2</v>
      </c>
      <c r="C12" s="140" t="s">
        <v>261</v>
      </c>
      <c r="D12" s="818"/>
      <c r="E12" s="818"/>
      <c r="F12" s="931"/>
      <c r="G12" s="931"/>
      <c r="H12" s="931"/>
      <c r="I12" s="479"/>
      <c r="J12" s="310"/>
      <c r="K12" s="311"/>
      <c r="L12" s="474" t="str">
        <f t="shared" ref="L12:L30" si="0">IF(D12="","",IFERROR(IF(I12="","",((I12/1000)*V12*X12)*AD12*AJ12),"This intervention is not permitted within the SSM ▲"))</f>
        <v/>
      </c>
      <c r="M12" s="305" t="str">
        <f>IF(I12="","",IF(J12+K12&gt;I12,"Length Error ▲",I12-J12-K12))</f>
        <v/>
      </c>
      <c r="N12" s="474" t="str">
        <f t="shared" ref="N12:N30" si="1">IFERROR(IF(I12="","",IF(M12="Length Error ▲","Length Error ▲",((M12/1000)*V12*X12)*AD12*AJ12)),"This intervention is not permitted within the SSM ▲")</f>
        <v/>
      </c>
      <c r="O12" s="68"/>
      <c r="P12" s="3"/>
      <c r="R12" s="733"/>
      <c r="T12" s="779" t="str">
        <f>IF(D12="","",VLOOKUP(D12,'9. All Habitats + Multipliers'!$C$4:$K$102,5,FALSE))</f>
        <v/>
      </c>
      <c r="U12" s="780"/>
      <c r="V12" s="96" t="str">
        <f>IF(T12="","",VLOOKUP(T12,'11. Lists'!$B$47:$D$49,2,FALSE))</f>
        <v/>
      </c>
      <c r="W12" s="93" t="str">
        <f>IF(D12="","",VLOOKUP(D12,'10. Condition and Temporal'!$B$6:$C$103,2,FALSE))</f>
        <v/>
      </c>
      <c r="X12" s="96" t="str">
        <f>IF(W12="","",VLOOKUP(W12,'11. Lists'!$F$47:$G$51,2,FALSE))</f>
        <v/>
      </c>
      <c r="Y12" s="376"/>
      <c r="Z12" s="347"/>
      <c r="AA12" s="374"/>
      <c r="AB12" s="95" t="str">
        <f>IF(F12="","",F12)</f>
        <v/>
      </c>
      <c r="AC12" s="95" t="str">
        <f>IF(AB12="","",VLOOKUP(AB12,'11. Lists'!$F$36:$H$38,2,FALSE))</f>
        <v/>
      </c>
      <c r="AD12" s="94" t="str">
        <f>IF(AB12="","",VLOOKUP(AB12,'11. Lists'!$F$36:$H$38,3,FALSE))</f>
        <v/>
      </c>
      <c r="AE12" s="302" t="str">
        <f t="shared" ref="AE12:AE30" si="2">IF(D12="","",((J12/1000)*V12*X12)*AD12)</f>
        <v/>
      </c>
      <c r="AF12" s="303" t="str">
        <f t="shared" ref="AF12:AF30" si="3">IF(D12="","",((K12/1000)*V12*X12)*AD12*AJ12)</f>
        <v/>
      </c>
      <c r="AG12" s="304" t="str">
        <f t="shared" ref="AG12:AG30" si="4">IF(D12="","",M12)</f>
        <v/>
      </c>
      <c r="AH12" s="93" t="str">
        <f>IF(T12="","",VLOOKUP(T12,'11. Lists'!$B$47:$D$49,3,FALSE))</f>
        <v/>
      </c>
      <c r="AI12" s="348" t="str">
        <f>IF(D12="","",VLOOKUP(D12,'10. Condition and Temporal'!$B$6:$L$103,4,FALSE))</f>
        <v/>
      </c>
      <c r="AJ12" s="483" t="str">
        <v>1</v>
      </c>
      <c r="AK12" s="161" t="str">
        <v>1</v>
      </c>
      <c r="AL12" s="161"/>
      <c r="AM12" s="161"/>
      <c r="AN12" s="439"/>
      <c r="AR12" s="161" t="str">
        <f t="shared" ref="AR12:AR30" si="5">IF(D12="","",IFERROR(IF(I12="","",((I12/1000)*V12*X12)*AD12),"This intervention is not permitted within the SSM ▲"))</f>
        <v/>
      </c>
    </row>
    <row r="13" spans="1:44" s="25" customFormat="1" ht="15.6">
      <c r="B13" s="268">
        <v>3</v>
      </c>
      <c r="C13" s="140" t="s">
        <v>261</v>
      </c>
      <c r="D13" s="818"/>
      <c r="E13" s="818"/>
      <c r="F13" s="931"/>
      <c r="G13" s="931"/>
      <c r="H13" s="931"/>
      <c r="I13" s="479"/>
      <c r="J13" s="310"/>
      <c r="K13" s="311"/>
      <c r="L13" s="474" t="str">
        <f t="shared" si="0"/>
        <v/>
      </c>
      <c r="M13" s="305" t="str">
        <f t="shared" ref="M13:M29" si="6">IF(I13="","",IF(J13+K13&gt;I13,"Length Error ▲",I13-J13-K13))</f>
        <v/>
      </c>
      <c r="N13" s="474" t="str">
        <f t="shared" si="1"/>
        <v/>
      </c>
      <c r="O13" s="68"/>
      <c r="P13" s="3"/>
      <c r="R13" s="733"/>
      <c r="T13" s="779" t="str">
        <f>IF(D13="","",VLOOKUP(D13,'9. All Habitats + Multipliers'!$C$4:$K$102,5,FALSE))</f>
        <v/>
      </c>
      <c r="U13" s="780"/>
      <c r="V13" s="96" t="str">
        <f>IF(T13="","",VLOOKUP(T13,'11. Lists'!$B$47:$D$49,2,FALSE))</f>
        <v/>
      </c>
      <c r="W13" s="93" t="str">
        <f>IF(D13="","",VLOOKUP(D13,'10. Condition and Temporal'!$B$6:$C$103,2,FALSE))</f>
        <v/>
      </c>
      <c r="X13" s="96" t="str">
        <f>IF(W13="","",VLOOKUP(W13,'11. Lists'!$F$47:$G$51,2,FALSE))</f>
        <v/>
      </c>
      <c r="Y13" s="376"/>
      <c r="Z13" s="347"/>
      <c r="AA13" s="374"/>
      <c r="AB13" s="95" t="str">
        <f t="shared" ref="AB13:AB30" si="7">IF(F13="","",F13)</f>
        <v/>
      </c>
      <c r="AC13" s="95" t="str">
        <f>IF(AB13="","",VLOOKUP(AB13,'11. Lists'!$F$36:$H$38,2,FALSE))</f>
        <v/>
      </c>
      <c r="AD13" s="94" t="str">
        <f>IF(AB13="","",VLOOKUP(AB13,'11. Lists'!$F$36:$H$38,3,FALSE))</f>
        <v/>
      </c>
      <c r="AE13" s="302" t="str">
        <f t="shared" si="2"/>
        <v/>
      </c>
      <c r="AF13" s="303" t="str">
        <f t="shared" si="3"/>
        <v/>
      </c>
      <c r="AG13" s="304" t="str">
        <f t="shared" si="4"/>
        <v/>
      </c>
      <c r="AH13" s="93" t="str">
        <f>IF(T13="","",VLOOKUP(T13,'11. Lists'!$B$47:$D$49,3,FALSE))</f>
        <v/>
      </c>
      <c r="AI13" s="348" t="str">
        <f>IF(D13="","",VLOOKUP(D13,'10. Condition and Temporal'!$B$6:$L$103,4,FALSE))</f>
        <v/>
      </c>
      <c r="AJ13" s="483" t="str">
        <v>1</v>
      </c>
      <c r="AK13" s="161" t="str">
        <v>1</v>
      </c>
      <c r="AL13" s="161"/>
      <c r="AM13" s="161"/>
      <c r="AN13" s="439"/>
      <c r="AR13" s="161" t="str">
        <f t="shared" si="5"/>
        <v/>
      </c>
    </row>
    <row r="14" spans="1:44" s="25" customFormat="1" ht="15.6">
      <c r="B14" s="268">
        <v>4</v>
      </c>
      <c r="C14" s="140" t="s">
        <v>261</v>
      </c>
      <c r="D14" s="818"/>
      <c r="E14" s="818"/>
      <c r="F14" s="931"/>
      <c r="G14" s="931"/>
      <c r="H14" s="931"/>
      <c r="I14" s="479"/>
      <c r="J14" s="310"/>
      <c r="K14" s="311"/>
      <c r="L14" s="474" t="str">
        <f t="shared" si="0"/>
        <v/>
      </c>
      <c r="M14" s="305" t="str">
        <f t="shared" si="6"/>
        <v/>
      </c>
      <c r="N14" s="474" t="str">
        <f t="shared" si="1"/>
        <v/>
      </c>
      <c r="O14" s="68"/>
      <c r="P14" s="3"/>
      <c r="R14" s="733"/>
      <c r="T14" s="779" t="str">
        <f>IF(D14="","",VLOOKUP(D14,'9. All Habitats + Multipliers'!$C$4:$K$102,5,FALSE))</f>
        <v/>
      </c>
      <c r="U14" s="780"/>
      <c r="V14" s="96" t="str">
        <f>IF(T14="","",VLOOKUP(T14,'11. Lists'!$B$47:$D$49,2,FALSE))</f>
        <v/>
      </c>
      <c r="W14" s="93" t="str">
        <f>IF(D14="","",VLOOKUP(D14,'10. Condition and Temporal'!$B$6:$C$103,2,FALSE))</f>
        <v/>
      </c>
      <c r="X14" s="96" t="str">
        <f>IF(W14="","",VLOOKUP(W14,'11. Lists'!$F$47:$G$51,2,FALSE))</f>
        <v/>
      </c>
      <c r="Y14" s="376"/>
      <c r="Z14" s="347"/>
      <c r="AA14" s="374"/>
      <c r="AB14" s="95" t="str">
        <f t="shared" si="7"/>
        <v/>
      </c>
      <c r="AC14" s="95" t="str">
        <f>IF(AB14="","",VLOOKUP(AB14,'11. Lists'!$F$36:$H$38,2,FALSE))</f>
        <v/>
      </c>
      <c r="AD14" s="94" t="str">
        <f>IF(AB14="","",VLOOKUP(AB14,'11. Lists'!$F$36:$H$38,3,FALSE))</f>
        <v/>
      </c>
      <c r="AE14" s="302" t="str">
        <f t="shared" si="2"/>
        <v/>
      </c>
      <c r="AF14" s="303" t="str">
        <f t="shared" si="3"/>
        <v/>
      </c>
      <c r="AG14" s="304" t="str">
        <f t="shared" si="4"/>
        <v/>
      </c>
      <c r="AH14" s="93" t="str">
        <f>IF(T14="","",VLOOKUP(T14,'11. Lists'!$B$47:$D$49,3,FALSE))</f>
        <v/>
      </c>
      <c r="AI14" s="348" t="str">
        <f>IF(D14="","",VLOOKUP(D14,'10. Condition and Temporal'!$B$6:$L$103,4,FALSE))</f>
        <v/>
      </c>
      <c r="AJ14" s="483" t="str">
        <v>1</v>
      </c>
      <c r="AK14" s="161" t="str">
        <v>1</v>
      </c>
      <c r="AL14" s="161"/>
      <c r="AM14" s="161"/>
      <c r="AN14" s="439"/>
      <c r="AR14" s="161" t="str">
        <f t="shared" si="5"/>
        <v/>
      </c>
    </row>
    <row r="15" spans="1:44" s="25" customFormat="1" ht="15.6">
      <c r="B15" s="268">
        <v>5</v>
      </c>
      <c r="C15" s="140" t="s">
        <v>261</v>
      </c>
      <c r="D15" s="818"/>
      <c r="E15" s="818"/>
      <c r="F15" s="931"/>
      <c r="G15" s="931"/>
      <c r="H15" s="931"/>
      <c r="I15" s="479"/>
      <c r="J15" s="310"/>
      <c r="K15" s="311"/>
      <c r="L15" s="474" t="str">
        <f t="shared" si="0"/>
        <v/>
      </c>
      <c r="M15" s="305" t="str">
        <f t="shared" si="6"/>
        <v/>
      </c>
      <c r="N15" s="474" t="str">
        <f t="shared" si="1"/>
        <v/>
      </c>
      <c r="O15" s="68"/>
      <c r="P15" s="3"/>
      <c r="R15" s="733"/>
      <c r="T15" s="779" t="str">
        <f>IF(D15="","",VLOOKUP(D15,'9. All Habitats + Multipliers'!$C$4:$K$102,5,FALSE))</f>
        <v/>
      </c>
      <c r="U15" s="780"/>
      <c r="V15" s="96" t="str">
        <f>IF(T15="","",VLOOKUP(T15,'11. Lists'!$B$47:$D$49,2,FALSE))</f>
        <v/>
      </c>
      <c r="W15" s="93" t="str">
        <f>IF(D15="","",VLOOKUP(D15,'10. Condition and Temporal'!$B$6:$C$103,2,FALSE))</f>
        <v/>
      </c>
      <c r="X15" s="96" t="str">
        <f>IF(W15="","",VLOOKUP(W15,'11. Lists'!$F$47:$G$51,2,FALSE))</f>
        <v/>
      </c>
      <c r="Y15" s="376"/>
      <c r="Z15" s="347"/>
      <c r="AA15" s="374"/>
      <c r="AB15" s="95" t="str">
        <f t="shared" si="7"/>
        <v/>
      </c>
      <c r="AC15" s="95" t="str">
        <f>IF(AB15="","",VLOOKUP(AB15,'11. Lists'!$F$36:$H$38,2,FALSE))</f>
        <v/>
      </c>
      <c r="AD15" s="94" t="str">
        <f>IF(AB15="","",VLOOKUP(AB15,'11. Lists'!$F$36:$H$38,3,FALSE))</f>
        <v/>
      </c>
      <c r="AE15" s="302" t="str">
        <f t="shared" si="2"/>
        <v/>
      </c>
      <c r="AF15" s="303" t="str">
        <f t="shared" si="3"/>
        <v/>
      </c>
      <c r="AG15" s="304" t="str">
        <f t="shared" si="4"/>
        <v/>
      </c>
      <c r="AH15" s="93" t="str">
        <f>IF(T15="","",VLOOKUP(T15,'11. Lists'!$B$47:$D$49,3,FALSE))</f>
        <v/>
      </c>
      <c r="AI15" s="348" t="str">
        <f>IF(D15="","",VLOOKUP(D15,'10. Condition and Temporal'!$B$6:$L$103,4,FALSE))</f>
        <v/>
      </c>
      <c r="AJ15" s="483" t="str">
        <v>1</v>
      </c>
      <c r="AK15" s="161" t="str">
        <v>1</v>
      </c>
      <c r="AL15" s="161"/>
      <c r="AM15" s="161"/>
      <c r="AN15" s="439"/>
      <c r="AR15" s="161" t="str">
        <f t="shared" si="5"/>
        <v/>
      </c>
    </row>
    <row r="16" spans="1:44" s="25" customFormat="1" ht="15.6">
      <c r="B16" s="268">
        <v>6</v>
      </c>
      <c r="C16" s="140" t="s">
        <v>261</v>
      </c>
      <c r="D16" s="818"/>
      <c r="E16" s="818"/>
      <c r="F16" s="931"/>
      <c r="G16" s="931"/>
      <c r="H16" s="931"/>
      <c r="I16" s="479"/>
      <c r="J16" s="310"/>
      <c r="K16" s="311"/>
      <c r="L16" s="474" t="str">
        <f t="shared" si="0"/>
        <v/>
      </c>
      <c r="M16" s="305" t="str">
        <f t="shared" si="6"/>
        <v/>
      </c>
      <c r="N16" s="474" t="str">
        <f t="shared" si="1"/>
        <v/>
      </c>
      <c r="O16" s="68"/>
      <c r="P16" s="3"/>
      <c r="R16" s="733"/>
      <c r="T16" s="779" t="str">
        <f>IF(D16="","",VLOOKUP(D16,'9. All Habitats + Multipliers'!$C$4:$K$102,5,FALSE))</f>
        <v/>
      </c>
      <c r="U16" s="780"/>
      <c r="V16" s="96" t="str">
        <f>IF(T16="","",VLOOKUP(T16,'11. Lists'!$B$47:$D$49,2,FALSE))</f>
        <v/>
      </c>
      <c r="W16" s="93" t="str">
        <f>IF(D16="","",VLOOKUP(D16,'10. Condition and Temporal'!$B$6:$C$103,2,FALSE))</f>
        <v/>
      </c>
      <c r="X16" s="96" t="str">
        <f>IF(W16="","",VLOOKUP(W16,'11. Lists'!$F$47:$G$51,2,FALSE))</f>
        <v/>
      </c>
      <c r="Y16" s="376"/>
      <c r="Z16" s="347"/>
      <c r="AA16" s="374"/>
      <c r="AB16" s="95" t="str">
        <f t="shared" si="7"/>
        <v/>
      </c>
      <c r="AC16" s="95" t="str">
        <f>IF(AB16="","",VLOOKUP(AB16,'11. Lists'!$F$36:$H$38,2,FALSE))</f>
        <v/>
      </c>
      <c r="AD16" s="94" t="str">
        <f>IF(AB16="","",VLOOKUP(AB16,'11. Lists'!$F$36:$H$38,3,FALSE))</f>
        <v/>
      </c>
      <c r="AE16" s="302" t="str">
        <f t="shared" si="2"/>
        <v/>
      </c>
      <c r="AF16" s="303" t="str">
        <f t="shared" si="3"/>
        <v/>
      </c>
      <c r="AG16" s="304" t="str">
        <f t="shared" si="4"/>
        <v/>
      </c>
      <c r="AH16" s="93" t="str">
        <f>IF(T16="","",VLOOKUP(T16,'11. Lists'!$B$47:$D$49,3,FALSE))</f>
        <v/>
      </c>
      <c r="AI16" s="348" t="str">
        <f>IF(D16="","",VLOOKUP(D16,'10. Condition and Temporal'!$B$6:$L$103,4,FALSE))</f>
        <v/>
      </c>
      <c r="AJ16" s="483" t="str">
        <v>1</v>
      </c>
      <c r="AK16" s="161" t="str">
        <v>1</v>
      </c>
      <c r="AL16" s="161"/>
      <c r="AM16" s="161"/>
      <c r="AN16" s="439"/>
      <c r="AR16" s="161" t="str">
        <f t="shared" si="5"/>
        <v/>
      </c>
    </row>
    <row r="17" spans="2:44" s="25" customFormat="1" ht="15.6">
      <c r="B17" s="268">
        <v>7</v>
      </c>
      <c r="C17" s="140" t="s">
        <v>261</v>
      </c>
      <c r="D17" s="818"/>
      <c r="E17" s="818"/>
      <c r="F17" s="931"/>
      <c r="G17" s="931"/>
      <c r="H17" s="931"/>
      <c r="I17" s="479"/>
      <c r="J17" s="310"/>
      <c r="K17" s="311"/>
      <c r="L17" s="474" t="str">
        <f t="shared" si="0"/>
        <v/>
      </c>
      <c r="M17" s="305" t="str">
        <f t="shared" si="6"/>
        <v/>
      </c>
      <c r="N17" s="474" t="str">
        <f t="shared" si="1"/>
        <v/>
      </c>
      <c r="O17" s="68"/>
      <c r="P17" s="3"/>
      <c r="R17" s="733"/>
      <c r="T17" s="779" t="str">
        <f>IF(D17="","",VLOOKUP(D17,'9. All Habitats + Multipliers'!$C$4:$K$102,5,FALSE))</f>
        <v/>
      </c>
      <c r="U17" s="780"/>
      <c r="V17" s="96" t="str">
        <f>IF(T17="","",VLOOKUP(T17,'11. Lists'!$B$47:$D$49,2,FALSE))</f>
        <v/>
      </c>
      <c r="W17" s="93" t="str">
        <f>IF(D17="","",VLOOKUP(D17,'10. Condition and Temporal'!$B$6:$C$103,2,FALSE))</f>
        <v/>
      </c>
      <c r="X17" s="96" t="str">
        <f>IF(W17="","",VLOOKUP(W17,'11. Lists'!$F$47:$G$51,2,FALSE))</f>
        <v/>
      </c>
      <c r="Y17" s="376"/>
      <c r="Z17" s="347"/>
      <c r="AA17" s="374"/>
      <c r="AB17" s="95" t="str">
        <f t="shared" si="7"/>
        <v/>
      </c>
      <c r="AC17" s="95" t="str">
        <f>IF(AB17="","",VLOOKUP(AB17,'11. Lists'!$F$36:$H$38,2,FALSE))</f>
        <v/>
      </c>
      <c r="AD17" s="94" t="str">
        <f>IF(AB17="","",VLOOKUP(AB17,'11. Lists'!$F$36:$H$38,3,FALSE))</f>
        <v/>
      </c>
      <c r="AE17" s="302" t="str">
        <f t="shared" si="2"/>
        <v/>
      </c>
      <c r="AF17" s="303" t="str">
        <f t="shared" si="3"/>
        <v/>
      </c>
      <c r="AG17" s="304" t="str">
        <f t="shared" si="4"/>
        <v/>
      </c>
      <c r="AH17" s="93" t="str">
        <f>IF(T17="","",VLOOKUP(T17,'11. Lists'!$B$47:$D$49,3,FALSE))</f>
        <v/>
      </c>
      <c r="AI17" s="348" t="str">
        <f>IF(D17="","",VLOOKUP(D17,'10. Condition and Temporal'!$B$6:$L$103,4,FALSE))</f>
        <v/>
      </c>
      <c r="AJ17" s="483" t="str">
        <v>1</v>
      </c>
      <c r="AK17" s="161" t="str">
        <v>1</v>
      </c>
      <c r="AL17" s="161"/>
      <c r="AM17" s="161"/>
      <c r="AN17" s="439"/>
      <c r="AR17" s="161" t="str">
        <f t="shared" si="5"/>
        <v/>
      </c>
    </row>
    <row r="18" spans="2:44" s="25" customFormat="1" ht="15.6">
      <c r="B18" s="268">
        <v>8</v>
      </c>
      <c r="C18" s="140" t="s">
        <v>261</v>
      </c>
      <c r="D18" s="818"/>
      <c r="E18" s="818"/>
      <c r="F18" s="931"/>
      <c r="G18" s="931"/>
      <c r="H18" s="931"/>
      <c r="I18" s="479"/>
      <c r="J18" s="310"/>
      <c r="K18" s="311"/>
      <c r="L18" s="474" t="str">
        <f t="shared" si="0"/>
        <v/>
      </c>
      <c r="M18" s="305" t="str">
        <f t="shared" si="6"/>
        <v/>
      </c>
      <c r="N18" s="474" t="str">
        <f t="shared" si="1"/>
        <v/>
      </c>
      <c r="O18" s="68"/>
      <c r="P18" s="3"/>
      <c r="R18" s="733"/>
      <c r="T18" s="779" t="str">
        <f>IF(D18="","",VLOOKUP(D18,'9. All Habitats + Multipliers'!$C$4:$K$102,5,FALSE))</f>
        <v/>
      </c>
      <c r="U18" s="780"/>
      <c r="V18" s="96" t="str">
        <f>IF(T18="","",VLOOKUP(T18,'11. Lists'!$B$47:$D$49,2,FALSE))</f>
        <v/>
      </c>
      <c r="W18" s="93" t="str">
        <f>IF(D18="","",VLOOKUP(D18,'10. Condition and Temporal'!$B$6:$C$103,2,FALSE))</f>
        <v/>
      </c>
      <c r="X18" s="96" t="str">
        <f>IF(W18="","",VLOOKUP(W18,'11. Lists'!$F$47:$G$51,2,FALSE))</f>
        <v/>
      </c>
      <c r="Y18" s="376"/>
      <c r="Z18" s="347"/>
      <c r="AA18" s="374"/>
      <c r="AB18" s="95" t="str">
        <f t="shared" si="7"/>
        <v/>
      </c>
      <c r="AC18" s="95" t="str">
        <f>IF(AB18="","",VLOOKUP(AB18,'11. Lists'!$F$36:$H$38,2,FALSE))</f>
        <v/>
      </c>
      <c r="AD18" s="94" t="str">
        <f>IF(AB18="","",VLOOKUP(AB18,'11. Lists'!$F$36:$H$38,3,FALSE))</f>
        <v/>
      </c>
      <c r="AE18" s="302" t="str">
        <f t="shared" si="2"/>
        <v/>
      </c>
      <c r="AF18" s="303" t="str">
        <f t="shared" si="3"/>
        <v/>
      </c>
      <c r="AG18" s="304" t="str">
        <f t="shared" si="4"/>
        <v/>
      </c>
      <c r="AH18" s="93" t="str">
        <f>IF(T18="","",VLOOKUP(T18,'11. Lists'!$B$47:$D$49,3,FALSE))</f>
        <v/>
      </c>
      <c r="AI18" s="348" t="str">
        <f>IF(D18="","",VLOOKUP(D18,'10. Condition and Temporal'!$B$6:$L$103,4,FALSE))</f>
        <v/>
      </c>
      <c r="AJ18" s="483" t="str">
        <v>1</v>
      </c>
      <c r="AK18" s="161" t="str">
        <v>1</v>
      </c>
      <c r="AL18" s="161"/>
      <c r="AM18" s="161"/>
      <c r="AN18" s="439"/>
      <c r="AR18" s="161" t="str">
        <f t="shared" si="5"/>
        <v/>
      </c>
    </row>
    <row r="19" spans="2:44" s="25" customFormat="1" ht="15.6">
      <c r="B19" s="268">
        <v>9</v>
      </c>
      <c r="C19" s="140" t="s">
        <v>261</v>
      </c>
      <c r="D19" s="818"/>
      <c r="E19" s="818"/>
      <c r="F19" s="931"/>
      <c r="G19" s="931"/>
      <c r="H19" s="931"/>
      <c r="I19" s="479"/>
      <c r="J19" s="310"/>
      <c r="K19" s="311"/>
      <c r="L19" s="474" t="str">
        <f t="shared" si="0"/>
        <v/>
      </c>
      <c r="M19" s="305" t="str">
        <f t="shared" si="6"/>
        <v/>
      </c>
      <c r="N19" s="474" t="str">
        <f t="shared" si="1"/>
        <v/>
      </c>
      <c r="O19" s="68"/>
      <c r="P19" s="3"/>
      <c r="R19" s="733"/>
      <c r="T19" s="779" t="str">
        <f>IF(D19="","",VLOOKUP(D19,'9. All Habitats + Multipliers'!$C$4:$K$102,5,FALSE))</f>
        <v/>
      </c>
      <c r="U19" s="780"/>
      <c r="V19" s="96" t="str">
        <f>IF(T19="","",VLOOKUP(T19,'11. Lists'!$B$47:$D$49,2,FALSE))</f>
        <v/>
      </c>
      <c r="W19" s="93" t="str">
        <f>IF(D19="","",VLOOKUP(D19,'10. Condition and Temporal'!$B$6:$C$103,2,FALSE))</f>
        <v/>
      </c>
      <c r="X19" s="96" t="str">
        <f>IF(W19="","",VLOOKUP(W19,'11. Lists'!$F$47:$G$51,2,FALSE))</f>
        <v/>
      </c>
      <c r="Y19" s="376"/>
      <c r="Z19" s="347"/>
      <c r="AA19" s="374"/>
      <c r="AB19" s="95" t="str">
        <f t="shared" si="7"/>
        <v/>
      </c>
      <c r="AC19" s="95" t="str">
        <f>IF(AB19="","",VLOOKUP(AB19,'11. Lists'!$F$36:$H$38,2,FALSE))</f>
        <v/>
      </c>
      <c r="AD19" s="94" t="str">
        <f>IF(AB19="","",VLOOKUP(AB19,'11. Lists'!$F$36:$H$38,3,FALSE))</f>
        <v/>
      </c>
      <c r="AE19" s="302" t="str">
        <f t="shared" si="2"/>
        <v/>
      </c>
      <c r="AF19" s="303" t="str">
        <f t="shared" si="3"/>
        <v/>
      </c>
      <c r="AG19" s="304" t="str">
        <f t="shared" si="4"/>
        <v/>
      </c>
      <c r="AH19" s="93" t="str">
        <f>IF(T19="","",VLOOKUP(T19,'11. Lists'!$B$47:$D$49,3,FALSE))</f>
        <v/>
      </c>
      <c r="AI19" s="348" t="str">
        <f>IF(D19="","",VLOOKUP(D19,'10. Condition and Temporal'!$B$6:$L$103,4,FALSE))</f>
        <v/>
      </c>
      <c r="AJ19" s="483" t="str">
        <v>1</v>
      </c>
      <c r="AK19" s="161" t="str">
        <v>1</v>
      </c>
      <c r="AL19" s="161"/>
      <c r="AM19" s="161"/>
      <c r="AN19" s="439"/>
      <c r="AR19" s="161" t="str">
        <f t="shared" si="5"/>
        <v/>
      </c>
    </row>
    <row r="20" spans="2:44" s="25" customFormat="1" ht="15.6">
      <c r="B20" s="268">
        <v>10</v>
      </c>
      <c r="C20" s="140" t="s">
        <v>261</v>
      </c>
      <c r="D20" s="818"/>
      <c r="E20" s="818"/>
      <c r="F20" s="931"/>
      <c r="G20" s="931"/>
      <c r="H20" s="931"/>
      <c r="I20" s="479"/>
      <c r="J20" s="310"/>
      <c r="K20" s="311"/>
      <c r="L20" s="474" t="str">
        <f t="shared" si="0"/>
        <v/>
      </c>
      <c r="M20" s="305" t="str">
        <f t="shared" si="6"/>
        <v/>
      </c>
      <c r="N20" s="474" t="str">
        <f t="shared" si="1"/>
        <v/>
      </c>
      <c r="O20" s="68"/>
      <c r="P20" s="8"/>
      <c r="R20" s="733"/>
      <c r="T20" s="779" t="str">
        <f>IF(D20="","",VLOOKUP(D20,'9. All Habitats + Multipliers'!$C$4:$K$102,5,FALSE))</f>
        <v/>
      </c>
      <c r="U20" s="780"/>
      <c r="V20" s="96" t="str">
        <f>IF(T20="","",VLOOKUP(T20,'11. Lists'!$B$47:$D$49,2,FALSE))</f>
        <v/>
      </c>
      <c r="W20" s="93" t="str">
        <f>IF(D20="","",VLOOKUP(D20,'10. Condition and Temporal'!$B$6:$C$103,2,FALSE))</f>
        <v/>
      </c>
      <c r="X20" s="96" t="str">
        <f>IF(W20="","",VLOOKUP(W20,'11. Lists'!$F$47:$G$51,2,FALSE))</f>
        <v/>
      </c>
      <c r="Y20" s="376"/>
      <c r="Z20" s="347"/>
      <c r="AA20" s="374"/>
      <c r="AB20" s="95" t="str">
        <f t="shared" si="7"/>
        <v/>
      </c>
      <c r="AC20" s="95" t="str">
        <f>IF(AB20="","",VLOOKUP(AB20,'11. Lists'!$F$36:$H$38,2,FALSE))</f>
        <v/>
      </c>
      <c r="AD20" s="94" t="str">
        <f>IF(AB20="","",VLOOKUP(AB20,'11. Lists'!$F$36:$H$38,3,FALSE))</f>
        <v/>
      </c>
      <c r="AE20" s="302" t="str">
        <f t="shared" si="2"/>
        <v/>
      </c>
      <c r="AF20" s="303" t="str">
        <f t="shared" si="3"/>
        <v/>
      </c>
      <c r="AG20" s="304" t="str">
        <f t="shared" si="4"/>
        <v/>
      </c>
      <c r="AH20" s="93" t="str">
        <f>IF(T20="","",VLOOKUP(T20,'11. Lists'!$B$47:$D$49,3,FALSE))</f>
        <v/>
      </c>
      <c r="AI20" s="348" t="str">
        <f>IF(D20="","",VLOOKUP(D20,'10. Condition and Temporal'!$B$6:$L$103,4,FALSE))</f>
        <v/>
      </c>
      <c r="AJ20" s="483" t="str">
        <v>1</v>
      </c>
      <c r="AK20" s="161" t="str">
        <v>1</v>
      </c>
      <c r="AL20" s="161"/>
      <c r="AM20" s="161"/>
      <c r="AN20" s="439"/>
      <c r="AR20" s="161" t="str">
        <f t="shared" si="5"/>
        <v/>
      </c>
    </row>
    <row r="21" spans="2:44" s="25" customFormat="1" ht="15.6">
      <c r="B21" s="268">
        <v>11</v>
      </c>
      <c r="C21" s="140" t="s">
        <v>261</v>
      </c>
      <c r="D21" s="818"/>
      <c r="E21" s="818"/>
      <c r="F21" s="931"/>
      <c r="G21" s="931"/>
      <c r="H21" s="931"/>
      <c r="I21" s="479"/>
      <c r="J21" s="310"/>
      <c r="K21" s="311"/>
      <c r="L21" s="474" t="str">
        <f t="shared" si="0"/>
        <v/>
      </c>
      <c r="M21" s="305" t="str">
        <f t="shared" si="6"/>
        <v/>
      </c>
      <c r="N21" s="474" t="str">
        <f t="shared" si="1"/>
        <v/>
      </c>
      <c r="O21" s="68"/>
      <c r="P21" s="8"/>
      <c r="R21" s="733"/>
      <c r="T21" s="779" t="str">
        <f>IF(D21="","",VLOOKUP(D21,'9. All Habitats + Multipliers'!$C$4:$K$102,5,FALSE))</f>
        <v/>
      </c>
      <c r="U21" s="780"/>
      <c r="V21" s="96" t="str">
        <f>IF(T21="","",VLOOKUP(T21,'11. Lists'!$B$47:$D$49,2,FALSE))</f>
        <v/>
      </c>
      <c r="W21" s="93" t="str">
        <f>IF(D21="","",VLOOKUP(D21,'10. Condition and Temporal'!$B$6:$C$103,2,FALSE))</f>
        <v/>
      </c>
      <c r="X21" s="96" t="str">
        <f>IF(W21="","",VLOOKUP(W21,'11. Lists'!$F$47:$G$51,2,FALSE))</f>
        <v/>
      </c>
      <c r="Y21" s="376"/>
      <c r="Z21" s="347"/>
      <c r="AA21" s="374"/>
      <c r="AB21" s="95" t="str">
        <f t="shared" si="7"/>
        <v/>
      </c>
      <c r="AC21" s="95" t="str">
        <f>IF(AB21="","",VLOOKUP(AB21,'11. Lists'!$F$36:$H$38,2,FALSE))</f>
        <v/>
      </c>
      <c r="AD21" s="94" t="str">
        <f>IF(AB21="","",VLOOKUP(AB21,'11. Lists'!$F$36:$H$38,3,FALSE))</f>
        <v/>
      </c>
      <c r="AE21" s="302" t="str">
        <f t="shared" si="2"/>
        <v/>
      </c>
      <c r="AF21" s="303" t="str">
        <f t="shared" si="3"/>
        <v/>
      </c>
      <c r="AG21" s="304" t="str">
        <f t="shared" si="4"/>
        <v/>
      </c>
      <c r="AH21" s="93" t="str">
        <f>IF(T21="","",VLOOKUP(T21,'11. Lists'!$B$47:$D$49,3,FALSE))</f>
        <v/>
      </c>
      <c r="AI21" s="348" t="str">
        <f>IF(D21="","",VLOOKUP(D21,'10. Condition and Temporal'!$B$6:$L$103,4,FALSE))</f>
        <v/>
      </c>
      <c r="AJ21" s="483" t="str">
        <v>1</v>
      </c>
      <c r="AK21" s="161" t="str">
        <v>1</v>
      </c>
      <c r="AL21" s="161"/>
      <c r="AM21" s="161"/>
      <c r="AN21" s="439"/>
      <c r="AR21" s="161" t="str">
        <f t="shared" si="5"/>
        <v/>
      </c>
    </row>
    <row r="22" spans="2:44" s="25" customFormat="1" ht="15.6">
      <c r="B22" s="268">
        <v>12</v>
      </c>
      <c r="C22" s="140" t="s">
        <v>261</v>
      </c>
      <c r="D22" s="818"/>
      <c r="E22" s="818"/>
      <c r="F22" s="931"/>
      <c r="G22" s="931"/>
      <c r="H22" s="931"/>
      <c r="I22" s="479"/>
      <c r="J22" s="310"/>
      <c r="K22" s="311"/>
      <c r="L22" s="474" t="str">
        <f t="shared" si="0"/>
        <v/>
      </c>
      <c r="M22" s="305" t="str">
        <f t="shared" si="6"/>
        <v/>
      </c>
      <c r="N22" s="474" t="str">
        <f t="shared" si="1"/>
        <v/>
      </c>
      <c r="O22" s="68"/>
      <c r="P22" s="8"/>
      <c r="R22" s="733"/>
      <c r="T22" s="779" t="str">
        <f>IF(D22="","",VLOOKUP(D22,'9. All Habitats + Multipliers'!$C$4:$K$102,5,FALSE))</f>
        <v/>
      </c>
      <c r="U22" s="780"/>
      <c r="V22" s="96" t="str">
        <f>IF(T22="","",VLOOKUP(T22,'11. Lists'!$B$47:$D$49,2,FALSE))</f>
        <v/>
      </c>
      <c r="W22" s="93" t="str">
        <f>IF(D22="","",VLOOKUP(D22,'10. Condition and Temporal'!$B$6:$C$103,2,FALSE))</f>
        <v/>
      </c>
      <c r="X22" s="96" t="str">
        <f>IF(W22="","",VLOOKUP(W22,'11. Lists'!$F$47:$G$51,2,FALSE))</f>
        <v/>
      </c>
      <c r="Y22" s="376"/>
      <c r="Z22" s="347"/>
      <c r="AA22" s="374"/>
      <c r="AB22" s="95" t="str">
        <f t="shared" si="7"/>
        <v/>
      </c>
      <c r="AC22" s="95" t="str">
        <f>IF(AB22="","",VLOOKUP(AB22,'11. Lists'!$F$36:$H$38,2,FALSE))</f>
        <v/>
      </c>
      <c r="AD22" s="94" t="str">
        <f>IF(AB22="","",VLOOKUP(AB22,'11. Lists'!$F$36:$H$38,3,FALSE))</f>
        <v/>
      </c>
      <c r="AE22" s="302" t="str">
        <f t="shared" si="2"/>
        <v/>
      </c>
      <c r="AF22" s="303" t="str">
        <f t="shared" si="3"/>
        <v/>
      </c>
      <c r="AG22" s="304" t="str">
        <f t="shared" si="4"/>
        <v/>
      </c>
      <c r="AH22" s="93" t="str">
        <f>IF(T22="","",VLOOKUP(T22,'11. Lists'!$B$47:$D$49,3,FALSE))</f>
        <v/>
      </c>
      <c r="AI22" s="348" t="str">
        <f>IF(D22="","",VLOOKUP(D22,'10. Condition and Temporal'!$B$6:$L$103,4,FALSE))</f>
        <v/>
      </c>
      <c r="AJ22" s="483" t="str">
        <v>1</v>
      </c>
      <c r="AK22" s="161" t="str">
        <v>1</v>
      </c>
      <c r="AL22" s="161"/>
      <c r="AM22" s="161"/>
      <c r="AN22" s="439"/>
      <c r="AR22" s="161" t="str">
        <f t="shared" si="5"/>
        <v/>
      </c>
    </row>
    <row r="23" spans="2:44" s="25" customFormat="1" ht="15.6">
      <c r="B23" s="268">
        <v>13</v>
      </c>
      <c r="C23" s="140" t="s">
        <v>261</v>
      </c>
      <c r="D23" s="818"/>
      <c r="E23" s="818"/>
      <c r="F23" s="931"/>
      <c r="G23" s="931"/>
      <c r="H23" s="931"/>
      <c r="I23" s="479"/>
      <c r="J23" s="310"/>
      <c r="K23" s="311"/>
      <c r="L23" s="474" t="str">
        <f t="shared" si="0"/>
        <v/>
      </c>
      <c r="M23" s="305" t="str">
        <f t="shared" si="6"/>
        <v/>
      </c>
      <c r="N23" s="474" t="str">
        <f t="shared" si="1"/>
        <v/>
      </c>
      <c r="O23" s="68"/>
      <c r="P23" s="8"/>
      <c r="R23" s="733"/>
      <c r="T23" s="779" t="str">
        <f>IF(D23="","",VLOOKUP(D23,'9. All Habitats + Multipliers'!$C$4:$K$102,5,FALSE))</f>
        <v/>
      </c>
      <c r="U23" s="780"/>
      <c r="V23" s="96" t="str">
        <f>IF(T23="","",VLOOKUP(T23,'11. Lists'!$B$47:$D$49,2,FALSE))</f>
        <v/>
      </c>
      <c r="W23" s="93" t="str">
        <f>IF(D23="","",VLOOKUP(D23,'10. Condition and Temporal'!$B$6:$C$103,2,FALSE))</f>
        <v/>
      </c>
      <c r="X23" s="96" t="str">
        <f>IF(W23="","",VLOOKUP(W23,'11. Lists'!$F$47:$G$51,2,FALSE))</f>
        <v/>
      </c>
      <c r="Y23" s="376"/>
      <c r="Z23" s="347"/>
      <c r="AA23" s="374"/>
      <c r="AB23" s="95" t="str">
        <f t="shared" si="7"/>
        <v/>
      </c>
      <c r="AC23" s="95" t="str">
        <f>IF(AB23="","",VLOOKUP(AB23,'11. Lists'!$F$36:$H$38,2,FALSE))</f>
        <v/>
      </c>
      <c r="AD23" s="94" t="str">
        <f>IF(AB23="","",VLOOKUP(AB23,'11. Lists'!$F$36:$H$38,3,FALSE))</f>
        <v/>
      </c>
      <c r="AE23" s="302" t="str">
        <f t="shared" si="2"/>
        <v/>
      </c>
      <c r="AF23" s="303" t="str">
        <f t="shared" si="3"/>
        <v/>
      </c>
      <c r="AG23" s="304" t="str">
        <f t="shared" si="4"/>
        <v/>
      </c>
      <c r="AH23" s="93" t="str">
        <f>IF(T23="","",VLOOKUP(T23,'11. Lists'!$B$47:$D$49,3,FALSE))</f>
        <v/>
      </c>
      <c r="AI23" s="348" t="str">
        <f>IF(D23="","",VLOOKUP(D23,'10. Condition and Temporal'!$B$6:$L$103,4,FALSE))</f>
        <v/>
      </c>
      <c r="AJ23" s="483" t="str">
        <v>1</v>
      </c>
      <c r="AK23" s="161" t="str">
        <v>1</v>
      </c>
      <c r="AL23" s="161"/>
      <c r="AM23" s="161"/>
      <c r="AN23" s="439"/>
      <c r="AR23" s="161" t="str">
        <f t="shared" si="5"/>
        <v/>
      </c>
    </row>
    <row r="24" spans="2:44" s="25" customFormat="1" ht="15.6">
      <c r="B24" s="268">
        <v>14</v>
      </c>
      <c r="C24" s="140" t="s">
        <v>261</v>
      </c>
      <c r="D24" s="818"/>
      <c r="E24" s="818"/>
      <c r="F24" s="931"/>
      <c r="G24" s="931"/>
      <c r="H24" s="931"/>
      <c r="I24" s="479"/>
      <c r="J24" s="310"/>
      <c r="K24" s="311"/>
      <c r="L24" s="474" t="str">
        <f t="shared" si="0"/>
        <v/>
      </c>
      <c r="M24" s="305" t="str">
        <f t="shared" si="6"/>
        <v/>
      </c>
      <c r="N24" s="474" t="str">
        <f t="shared" si="1"/>
        <v/>
      </c>
      <c r="O24" s="68"/>
      <c r="P24" s="8"/>
      <c r="R24" s="733"/>
      <c r="T24" s="779" t="str">
        <f>IF(D24="","",VLOOKUP(D24,'9. All Habitats + Multipliers'!$C$4:$K$102,5,FALSE))</f>
        <v/>
      </c>
      <c r="U24" s="780"/>
      <c r="V24" s="96" t="str">
        <f>IF(T24="","",VLOOKUP(T24,'11. Lists'!$B$47:$D$49,2,FALSE))</f>
        <v/>
      </c>
      <c r="W24" s="93" t="str">
        <f>IF(D24="","",VLOOKUP(D24,'10. Condition and Temporal'!$B$6:$C$103,2,FALSE))</f>
        <v/>
      </c>
      <c r="X24" s="96" t="str">
        <f>IF(W24="","",VLOOKUP(W24,'11. Lists'!$F$47:$G$51,2,FALSE))</f>
        <v/>
      </c>
      <c r="Y24" s="376"/>
      <c r="Z24" s="347"/>
      <c r="AA24" s="374"/>
      <c r="AB24" s="95" t="str">
        <f t="shared" si="7"/>
        <v/>
      </c>
      <c r="AC24" s="95" t="str">
        <f>IF(AB24="","",VLOOKUP(AB24,'11. Lists'!$F$36:$H$38,2,FALSE))</f>
        <v/>
      </c>
      <c r="AD24" s="94" t="str">
        <f>IF(AB24="","",VLOOKUP(AB24,'11. Lists'!$F$36:$H$38,3,FALSE))</f>
        <v/>
      </c>
      <c r="AE24" s="302" t="str">
        <f t="shared" si="2"/>
        <v/>
      </c>
      <c r="AF24" s="303" t="str">
        <f t="shared" si="3"/>
        <v/>
      </c>
      <c r="AG24" s="304" t="str">
        <f t="shared" si="4"/>
        <v/>
      </c>
      <c r="AH24" s="93" t="str">
        <f>IF(T24="","",VLOOKUP(T24,'11. Lists'!$B$47:$D$49,3,FALSE))</f>
        <v/>
      </c>
      <c r="AI24" s="348" t="str">
        <f>IF(D24="","",VLOOKUP(D24,'10. Condition and Temporal'!$B$6:$L$103,4,FALSE))</f>
        <v/>
      </c>
      <c r="AJ24" s="483" t="str">
        <v>1</v>
      </c>
      <c r="AK24" s="161" t="str">
        <v>1</v>
      </c>
      <c r="AL24" s="161"/>
      <c r="AM24" s="161"/>
      <c r="AN24" s="439"/>
      <c r="AR24" s="161" t="str">
        <f t="shared" si="5"/>
        <v/>
      </c>
    </row>
    <row r="25" spans="2:44" s="25" customFormat="1" ht="15.6">
      <c r="B25" s="268">
        <v>15</v>
      </c>
      <c r="C25" s="140" t="s">
        <v>261</v>
      </c>
      <c r="D25" s="818"/>
      <c r="E25" s="818"/>
      <c r="F25" s="931"/>
      <c r="G25" s="931"/>
      <c r="H25" s="931"/>
      <c r="I25" s="479"/>
      <c r="J25" s="310"/>
      <c r="K25" s="311"/>
      <c r="L25" s="474" t="str">
        <f t="shared" si="0"/>
        <v/>
      </c>
      <c r="M25" s="305" t="str">
        <f t="shared" si="6"/>
        <v/>
      </c>
      <c r="N25" s="474" t="str">
        <f t="shared" si="1"/>
        <v/>
      </c>
      <c r="O25" s="68"/>
      <c r="P25" s="8"/>
      <c r="R25" s="733"/>
      <c r="T25" s="779" t="str">
        <f>IF(D25="","",VLOOKUP(D25,'9. All Habitats + Multipliers'!$C$4:$K$102,5,FALSE))</f>
        <v/>
      </c>
      <c r="U25" s="780"/>
      <c r="V25" s="96" t="str">
        <f>IF(T25="","",VLOOKUP(T25,'11. Lists'!$B$47:$D$49,2,FALSE))</f>
        <v/>
      </c>
      <c r="W25" s="93" t="str">
        <f>IF(D25="","",VLOOKUP(D25,'10. Condition and Temporal'!$B$6:$C$103,2,FALSE))</f>
        <v/>
      </c>
      <c r="X25" s="96" t="str">
        <f>IF(W25="","",VLOOKUP(W25,'11. Lists'!$F$47:$G$51,2,FALSE))</f>
        <v/>
      </c>
      <c r="Y25" s="376"/>
      <c r="Z25" s="347"/>
      <c r="AA25" s="374"/>
      <c r="AB25" s="95" t="str">
        <f t="shared" si="7"/>
        <v/>
      </c>
      <c r="AC25" s="95" t="str">
        <f>IF(AB25="","",VLOOKUP(AB25,'11. Lists'!$F$36:$H$38,2,FALSE))</f>
        <v/>
      </c>
      <c r="AD25" s="94" t="str">
        <f>IF(AB25="","",VLOOKUP(AB25,'11. Lists'!$F$36:$H$38,3,FALSE))</f>
        <v/>
      </c>
      <c r="AE25" s="302" t="str">
        <f t="shared" si="2"/>
        <v/>
      </c>
      <c r="AF25" s="303" t="str">
        <f t="shared" si="3"/>
        <v/>
      </c>
      <c r="AG25" s="304" t="str">
        <f t="shared" si="4"/>
        <v/>
      </c>
      <c r="AH25" s="93" t="str">
        <f>IF(T25="","",VLOOKUP(T25,'11. Lists'!$B$47:$D$49,3,FALSE))</f>
        <v/>
      </c>
      <c r="AI25" s="348" t="str">
        <f>IF(D25="","",VLOOKUP(D25,'10. Condition and Temporal'!$B$6:$L$103,4,FALSE))</f>
        <v/>
      </c>
      <c r="AJ25" s="483" t="str">
        <v>1</v>
      </c>
      <c r="AK25" s="161" t="str">
        <v>1</v>
      </c>
      <c r="AL25" s="161"/>
      <c r="AM25" s="161"/>
      <c r="AN25" s="439"/>
      <c r="AR25" s="161" t="str">
        <f t="shared" si="5"/>
        <v/>
      </c>
    </row>
    <row r="26" spans="2:44" s="25" customFormat="1" ht="15.6">
      <c r="B26" s="268">
        <v>16</v>
      </c>
      <c r="C26" s="140" t="s">
        <v>261</v>
      </c>
      <c r="D26" s="818"/>
      <c r="E26" s="818"/>
      <c r="F26" s="931"/>
      <c r="G26" s="931"/>
      <c r="H26" s="931"/>
      <c r="I26" s="479"/>
      <c r="J26" s="310"/>
      <c r="K26" s="311"/>
      <c r="L26" s="474" t="str">
        <f t="shared" si="0"/>
        <v/>
      </c>
      <c r="M26" s="305" t="str">
        <f t="shared" si="6"/>
        <v/>
      </c>
      <c r="N26" s="474" t="str">
        <f t="shared" si="1"/>
        <v/>
      </c>
      <c r="O26" s="68"/>
      <c r="P26" s="8"/>
      <c r="R26" s="733"/>
      <c r="T26" s="779" t="str">
        <f>IF(D26="","",VLOOKUP(D26,'9. All Habitats + Multipliers'!$C$4:$K$102,5,FALSE))</f>
        <v/>
      </c>
      <c r="U26" s="780"/>
      <c r="V26" s="96" t="str">
        <f>IF(T26="","",VLOOKUP(T26,'11. Lists'!$B$47:$D$49,2,FALSE))</f>
        <v/>
      </c>
      <c r="W26" s="93" t="str">
        <f>IF(D26="","",VLOOKUP(D26,'10. Condition and Temporal'!$B$6:$C$103,2,FALSE))</f>
        <v/>
      </c>
      <c r="X26" s="96" t="str">
        <f>IF(W26="","",VLOOKUP(W26,'11. Lists'!$F$47:$G$51,2,FALSE))</f>
        <v/>
      </c>
      <c r="Y26" s="376"/>
      <c r="Z26" s="347"/>
      <c r="AA26" s="374"/>
      <c r="AB26" s="95" t="str">
        <f t="shared" si="7"/>
        <v/>
      </c>
      <c r="AC26" s="95" t="str">
        <f>IF(AB26="","",VLOOKUP(AB26,'11. Lists'!$F$36:$H$38,2,FALSE))</f>
        <v/>
      </c>
      <c r="AD26" s="94" t="str">
        <f>IF(AB26="","",VLOOKUP(AB26,'11. Lists'!$F$36:$H$38,3,FALSE))</f>
        <v/>
      </c>
      <c r="AE26" s="302" t="str">
        <f t="shared" si="2"/>
        <v/>
      </c>
      <c r="AF26" s="303" t="str">
        <f t="shared" si="3"/>
        <v/>
      </c>
      <c r="AG26" s="304" t="str">
        <f t="shared" si="4"/>
        <v/>
      </c>
      <c r="AH26" s="93" t="str">
        <f>IF(T26="","",VLOOKUP(T26,'11. Lists'!$B$47:$D$49,3,FALSE))</f>
        <v/>
      </c>
      <c r="AI26" s="348" t="str">
        <f>IF(D26="","",VLOOKUP(D26,'10. Condition and Temporal'!$B$6:$L$103,4,FALSE))</f>
        <v/>
      </c>
      <c r="AJ26" s="483" t="str">
        <v>1</v>
      </c>
      <c r="AK26" s="161" t="str">
        <v>1</v>
      </c>
      <c r="AL26" s="161"/>
      <c r="AM26" s="161"/>
      <c r="AN26" s="439"/>
      <c r="AR26" s="161" t="str">
        <f t="shared" si="5"/>
        <v/>
      </c>
    </row>
    <row r="27" spans="2:44" s="25" customFormat="1" ht="15.6">
      <c r="B27" s="268">
        <v>17</v>
      </c>
      <c r="C27" s="140" t="s">
        <v>261</v>
      </c>
      <c r="D27" s="818"/>
      <c r="E27" s="818"/>
      <c r="F27" s="931"/>
      <c r="G27" s="931"/>
      <c r="H27" s="931"/>
      <c r="I27" s="479"/>
      <c r="J27" s="310"/>
      <c r="K27" s="311"/>
      <c r="L27" s="474" t="str">
        <f t="shared" si="0"/>
        <v/>
      </c>
      <c r="M27" s="305" t="str">
        <f t="shared" si="6"/>
        <v/>
      </c>
      <c r="N27" s="474" t="str">
        <f t="shared" si="1"/>
        <v/>
      </c>
      <c r="O27" s="68"/>
      <c r="P27" s="8"/>
      <c r="R27" s="733"/>
      <c r="T27" s="779" t="str">
        <f>IF(D27="","",VLOOKUP(D27,'9. All Habitats + Multipliers'!$C$4:$K$102,5,FALSE))</f>
        <v/>
      </c>
      <c r="U27" s="780"/>
      <c r="V27" s="96" t="str">
        <f>IF(T27="","",VLOOKUP(T27,'11. Lists'!$B$47:$D$49,2,FALSE))</f>
        <v/>
      </c>
      <c r="W27" s="93" t="str">
        <f>IF(D27="","",VLOOKUP(D27,'10. Condition and Temporal'!$B$6:$C$103,2,FALSE))</f>
        <v/>
      </c>
      <c r="X27" s="96" t="str">
        <f>IF(W27="","",VLOOKUP(W27,'11. Lists'!$F$47:$G$51,2,FALSE))</f>
        <v/>
      </c>
      <c r="Y27" s="376"/>
      <c r="Z27" s="347"/>
      <c r="AA27" s="374"/>
      <c r="AB27" s="95" t="str">
        <f t="shared" si="7"/>
        <v/>
      </c>
      <c r="AC27" s="95" t="str">
        <f>IF(AB27="","",VLOOKUP(AB27,'11. Lists'!$F$36:$H$38,2,FALSE))</f>
        <v/>
      </c>
      <c r="AD27" s="94" t="str">
        <f>IF(AB27="","",VLOOKUP(AB27,'11. Lists'!$F$36:$H$38,3,FALSE))</f>
        <v/>
      </c>
      <c r="AE27" s="302" t="str">
        <f t="shared" si="2"/>
        <v/>
      </c>
      <c r="AF27" s="303" t="str">
        <f t="shared" si="3"/>
        <v/>
      </c>
      <c r="AG27" s="304" t="str">
        <f t="shared" si="4"/>
        <v/>
      </c>
      <c r="AH27" s="93" t="str">
        <f>IF(T27="","",VLOOKUP(T27,'11. Lists'!$B$47:$D$49,3,FALSE))</f>
        <v/>
      </c>
      <c r="AI27" s="348" t="str">
        <f>IF(D27="","",VLOOKUP(D27,'10. Condition and Temporal'!$B$6:$L$103,4,FALSE))</f>
        <v/>
      </c>
      <c r="AJ27" s="483" t="str">
        <v>1</v>
      </c>
      <c r="AK27" s="161" t="str">
        <v>1</v>
      </c>
      <c r="AL27" s="161"/>
      <c r="AM27" s="161"/>
      <c r="AN27" s="439"/>
      <c r="AR27" s="161" t="str">
        <f t="shared" si="5"/>
        <v/>
      </c>
    </row>
    <row r="28" spans="2:44" s="25" customFormat="1" ht="15.6">
      <c r="B28" s="268">
        <v>18</v>
      </c>
      <c r="C28" s="140" t="s">
        <v>261</v>
      </c>
      <c r="D28" s="818"/>
      <c r="E28" s="818"/>
      <c r="F28" s="931"/>
      <c r="G28" s="931"/>
      <c r="H28" s="931"/>
      <c r="I28" s="479"/>
      <c r="J28" s="310"/>
      <c r="K28" s="311"/>
      <c r="L28" s="474" t="str">
        <f t="shared" si="0"/>
        <v/>
      </c>
      <c r="M28" s="305" t="str">
        <f t="shared" si="6"/>
        <v/>
      </c>
      <c r="N28" s="474" t="str">
        <f t="shared" si="1"/>
        <v/>
      </c>
      <c r="O28" s="68"/>
      <c r="P28" s="8"/>
      <c r="R28" s="733"/>
      <c r="T28" s="779" t="str">
        <f>IF(D28="","",VLOOKUP(D28,'9. All Habitats + Multipliers'!$C$4:$K$102,5,FALSE))</f>
        <v/>
      </c>
      <c r="U28" s="780"/>
      <c r="V28" s="96" t="str">
        <f>IF(T28="","",VLOOKUP(T28,'11. Lists'!$B$47:$D$49,2,FALSE))</f>
        <v/>
      </c>
      <c r="W28" s="93" t="str">
        <f>IF(D28="","",VLOOKUP(D28,'10. Condition and Temporal'!$B$6:$C$103,2,FALSE))</f>
        <v/>
      </c>
      <c r="X28" s="96" t="str">
        <f>IF(W28="","",VLOOKUP(W28,'11. Lists'!$F$47:$G$51,2,FALSE))</f>
        <v/>
      </c>
      <c r="Y28" s="376"/>
      <c r="Z28" s="347"/>
      <c r="AA28" s="374"/>
      <c r="AB28" s="95" t="str">
        <f t="shared" si="7"/>
        <v/>
      </c>
      <c r="AC28" s="95" t="str">
        <f>IF(AB28="","",VLOOKUP(AB28,'11. Lists'!$F$36:$H$38,2,FALSE))</f>
        <v/>
      </c>
      <c r="AD28" s="94" t="str">
        <f>IF(AB28="","",VLOOKUP(AB28,'11. Lists'!$F$36:$H$38,3,FALSE))</f>
        <v/>
      </c>
      <c r="AE28" s="302" t="str">
        <f t="shared" si="2"/>
        <v/>
      </c>
      <c r="AF28" s="303" t="str">
        <f t="shared" si="3"/>
        <v/>
      </c>
      <c r="AG28" s="304" t="str">
        <f t="shared" si="4"/>
        <v/>
      </c>
      <c r="AH28" s="93" t="str">
        <f>IF(T28="","",VLOOKUP(T28,'11. Lists'!$B$47:$D$49,3,FALSE))</f>
        <v/>
      </c>
      <c r="AI28" s="348" t="str">
        <f>IF(D28="","",VLOOKUP(D28,'10. Condition and Temporal'!$B$6:$L$103,4,FALSE))</f>
        <v/>
      </c>
      <c r="AJ28" s="483" t="str">
        <v>1</v>
      </c>
      <c r="AK28" s="161" t="str">
        <v>1</v>
      </c>
      <c r="AL28" s="161"/>
      <c r="AM28" s="161"/>
      <c r="AN28" s="439"/>
      <c r="AR28" s="161" t="str">
        <f t="shared" si="5"/>
        <v/>
      </c>
    </row>
    <row r="29" spans="2:44" s="25" customFormat="1" ht="15.6">
      <c r="B29" s="268">
        <v>19</v>
      </c>
      <c r="C29" s="140" t="s">
        <v>261</v>
      </c>
      <c r="D29" s="818"/>
      <c r="E29" s="818"/>
      <c r="F29" s="931"/>
      <c r="G29" s="931"/>
      <c r="H29" s="931"/>
      <c r="I29" s="479"/>
      <c r="J29" s="310"/>
      <c r="K29" s="311"/>
      <c r="L29" s="474" t="str">
        <f t="shared" si="0"/>
        <v/>
      </c>
      <c r="M29" s="305" t="str">
        <f t="shared" si="6"/>
        <v/>
      </c>
      <c r="N29" s="474" t="str">
        <f t="shared" si="1"/>
        <v/>
      </c>
      <c r="O29" s="68"/>
      <c r="P29" s="8"/>
      <c r="R29" s="733"/>
      <c r="T29" s="779" t="str">
        <f>IF(D29="","",VLOOKUP(D29,'9. All Habitats + Multipliers'!$C$4:$K$102,5,FALSE))</f>
        <v/>
      </c>
      <c r="U29" s="780"/>
      <c r="V29" s="96" t="str">
        <f>IF(T29="","",VLOOKUP(T29,'11. Lists'!$B$47:$D$49,2,FALSE))</f>
        <v/>
      </c>
      <c r="W29" s="93" t="str">
        <f>IF(D29="","",VLOOKUP(D29,'10. Condition and Temporal'!$B$6:$C$103,2,FALSE))</f>
        <v/>
      </c>
      <c r="X29" s="96" t="str">
        <f>IF(W29="","",VLOOKUP(W29,'11. Lists'!$F$47:$G$51,2,FALSE))</f>
        <v/>
      </c>
      <c r="Y29" s="376"/>
      <c r="Z29" s="347"/>
      <c r="AA29" s="374"/>
      <c r="AB29" s="95" t="str">
        <f t="shared" si="7"/>
        <v/>
      </c>
      <c r="AC29" s="95" t="str">
        <f>IF(AB29="","",VLOOKUP(AB29,'11. Lists'!$F$36:$H$38,2,FALSE))</f>
        <v/>
      </c>
      <c r="AD29" s="94" t="str">
        <f>IF(AB29="","",VLOOKUP(AB29,'11. Lists'!$F$36:$H$38,3,FALSE))</f>
        <v/>
      </c>
      <c r="AE29" s="302" t="str">
        <f t="shared" si="2"/>
        <v/>
      </c>
      <c r="AF29" s="303" t="str">
        <f t="shared" si="3"/>
        <v/>
      </c>
      <c r="AG29" s="304" t="str">
        <f t="shared" si="4"/>
        <v/>
      </c>
      <c r="AH29" s="93" t="str">
        <f>IF(T29="","",VLOOKUP(T29,'11. Lists'!$B$47:$D$49,3,FALSE))</f>
        <v/>
      </c>
      <c r="AI29" s="348" t="str">
        <f>IF(D29="","",VLOOKUP(D29,'10. Condition and Temporal'!$B$6:$L$103,4,FALSE))</f>
        <v/>
      </c>
      <c r="AJ29" s="483" t="str">
        <v>1</v>
      </c>
      <c r="AK29" s="161" t="str">
        <v>1</v>
      </c>
      <c r="AL29" s="161"/>
      <c r="AM29" s="161"/>
      <c r="AN29" s="439"/>
      <c r="AR29" s="161" t="str">
        <f t="shared" si="5"/>
        <v/>
      </c>
    </row>
    <row r="30" spans="2:44" s="25" customFormat="1" ht="16.5" customHeight="1" thickBot="1">
      <c r="B30" s="269">
        <v>20</v>
      </c>
      <c r="C30" s="146" t="s">
        <v>261</v>
      </c>
      <c r="D30" s="846"/>
      <c r="E30" s="846"/>
      <c r="F30" s="936"/>
      <c r="G30" s="936"/>
      <c r="H30" s="936"/>
      <c r="I30" s="480"/>
      <c r="J30" s="313"/>
      <c r="K30" s="314"/>
      <c r="L30" s="482" t="str">
        <f t="shared" si="0"/>
        <v/>
      </c>
      <c r="M30" s="319" t="str">
        <f>IF(I30="","",IF(J30+K30&gt;I30,"Length Error ▲",I30-J30-K30))</f>
        <v/>
      </c>
      <c r="N30" s="482" t="str">
        <f t="shared" si="1"/>
        <v/>
      </c>
      <c r="O30" s="70"/>
      <c r="P30" s="4"/>
      <c r="R30" s="733"/>
      <c r="T30" s="834" t="str">
        <f>IF(D30="","",VLOOKUP(D30,'9. All Habitats + Multipliers'!$C$4:$K$102,5,FALSE))</f>
        <v/>
      </c>
      <c r="U30" s="835"/>
      <c r="V30" s="96" t="str">
        <f>IF(T30="","",VLOOKUP(T30,'11. Lists'!$B$47:$D$49,2,FALSE))</f>
        <v/>
      </c>
      <c r="W30" s="98" t="str">
        <f>IF(D30="","",VLOOKUP(D30,'10. Condition and Temporal'!$B$6:$C$103,2,FALSE))</f>
        <v/>
      </c>
      <c r="X30" s="102" t="str">
        <f>IF(W30="","",VLOOKUP(W30,'11. Lists'!$F$47:$G$51,2,FALSE))</f>
        <v/>
      </c>
      <c r="Y30" s="376"/>
      <c r="Z30" s="347"/>
      <c r="AA30" s="374"/>
      <c r="AB30" s="95" t="str">
        <f t="shared" si="7"/>
        <v/>
      </c>
      <c r="AC30" s="95" t="str">
        <f>IF(AB30="","",VLOOKUP(AB30,'11. Lists'!$F$36:$H$38,2,FALSE))</f>
        <v/>
      </c>
      <c r="AD30" s="94" t="str">
        <f>IF(AB30="","",VLOOKUP(AB30,'11. Lists'!$F$36:$H$38,3,FALSE))</f>
        <v/>
      </c>
      <c r="AE30" s="302" t="str">
        <f t="shared" si="2"/>
        <v/>
      </c>
      <c r="AF30" s="303" t="str">
        <f t="shared" si="3"/>
        <v/>
      </c>
      <c r="AG30" s="304" t="str">
        <f t="shared" si="4"/>
        <v/>
      </c>
      <c r="AH30" s="93" t="str">
        <f>IF(T30="","",VLOOKUP(T30,'11. Lists'!$B$47:$D$49,3,FALSE))</f>
        <v/>
      </c>
      <c r="AI30" s="348" t="str">
        <f>IF(D30="","",VLOOKUP(D30,'10. Condition and Temporal'!$B$6:$L$103,4,FALSE))</f>
        <v/>
      </c>
      <c r="AJ30" s="483" t="str">
        <v>1</v>
      </c>
      <c r="AK30" s="161" t="str">
        <v>1</v>
      </c>
      <c r="AL30" s="161"/>
      <c r="AM30" s="161"/>
      <c r="AN30" s="439"/>
      <c r="AR30" s="161" t="str">
        <f t="shared" si="5"/>
        <v/>
      </c>
    </row>
    <row r="31" spans="2:44" s="25" customFormat="1">
      <c r="D31" s="89"/>
      <c r="E31" s="103"/>
      <c r="F31" s="103"/>
      <c r="G31" s="103"/>
      <c r="H31" s="481" t="s">
        <v>236</v>
      </c>
      <c r="I31" s="330">
        <f t="shared" ref="I31:N31" si="8">SUM(I11:I30)</f>
        <v>0</v>
      </c>
      <c r="J31" s="331">
        <f t="shared" si="8"/>
        <v>0</v>
      </c>
      <c r="K31" s="332">
        <f t="shared" si="8"/>
        <v>0</v>
      </c>
      <c r="L31" s="287">
        <f t="shared" si="8"/>
        <v>0</v>
      </c>
      <c r="M31" s="320">
        <f t="shared" si="8"/>
        <v>0</v>
      </c>
      <c r="N31" s="295">
        <f t="shared" si="8"/>
        <v>0</v>
      </c>
      <c r="R31" s="733"/>
      <c r="AJ31" s="161"/>
      <c r="AK31" s="161"/>
      <c r="AL31" s="161"/>
      <c r="AM31" s="161"/>
      <c r="AN31" s="161"/>
      <c r="AR31" s="161"/>
    </row>
    <row r="32" spans="2:44" s="25" customFormat="1">
      <c r="D32" s="89"/>
      <c r="E32" s="103"/>
      <c r="F32" s="103"/>
      <c r="G32" s="103"/>
      <c r="H32" s="293" t="s">
        <v>106</v>
      </c>
      <c r="I32" s="890" t="str">
        <f>IF(I31&lt;J31+K31,"Error - Lengths Retained and Enhanced Exceed Total Length ▲","Lengths Acceptable ✓")</f>
        <v>Lengths Acceptable ✓</v>
      </c>
      <c r="J32" s="890"/>
      <c r="K32" s="890"/>
      <c r="L32" s="890"/>
      <c r="M32" s="890"/>
      <c r="N32" s="891"/>
      <c r="O32" s="161">
        <f>IFERROR(FIND("Error",#REF!),0)</f>
        <v>0</v>
      </c>
      <c r="R32" s="104"/>
      <c r="AJ32" s="161"/>
      <c r="AK32" s="161"/>
      <c r="AL32" s="161"/>
      <c r="AM32" s="161"/>
      <c r="AN32" s="161"/>
      <c r="AR32" s="161"/>
    </row>
    <row r="33" spans="2:44" s="25" customFormat="1" ht="15" thickBot="1">
      <c r="D33" s="89"/>
      <c r="E33" s="103"/>
      <c r="F33" s="103"/>
      <c r="G33" s="103"/>
      <c r="H33" s="276" t="s">
        <v>106</v>
      </c>
      <c r="I33" s="960" t="str">
        <f>IF(I31&lt;5000,"Lengths Acceptable ✓",IF(I31&gt;=5000,"Length Exceeds Length Appropriate for Small Sites Metric ▲"))</f>
        <v>Lengths Acceptable ✓</v>
      </c>
      <c r="J33" s="858"/>
      <c r="K33" s="858"/>
      <c r="L33" s="858"/>
      <c r="M33" s="858"/>
      <c r="N33" s="859"/>
      <c r="O33" s="161">
        <f>COUNTIF(L11:N30,"*"&amp;"error"&amp;"*")</f>
        <v>0</v>
      </c>
      <c r="R33" s="104"/>
      <c r="AJ33" s="161"/>
      <c r="AK33" s="161"/>
      <c r="AL33" s="161"/>
      <c r="AM33" s="161"/>
      <c r="AN33" s="161"/>
      <c r="AR33" s="161"/>
    </row>
    <row r="34" spans="2:44" s="25" customFormat="1">
      <c r="D34" s="89"/>
      <c r="E34" s="103"/>
      <c r="F34" s="103"/>
      <c r="G34" s="103"/>
      <c r="H34" s="103"/>
      <c r="I34" s="103"/>
      <c r="J34" s="103"/>
      <c r="K34" s="103"/>
      <c r="L34" s="103"/>
      <c r="M34" s="103"/>
      <c r="N34" s="103"/>
      <c r="O34" s="26"/>
      <c r="R34" s="733" t="s">
        <v>64</v>
      </c>
      <c r="AJ34" s="161"/>
      <c r="AK34" s="161"/>
      <c r="AL34" s="161"/>
      <c r="AM34" s="161"/>
      <c r="AN34" s="161"/>
      <c r="AR34" s="161"/>
    </row>
    <row r="35" spans="2:44" s="25" customFormat="1" ht="21">
      <c r="B35" s="57" t="s">
        <v>109</v>
      </c>
      <c r="D35" s="88"/>
      <c r="E35" s="103"/>
      <c r="F35" s="103"/>
      <c r="G35" s="103"/>
      <c r="I35" s="26"/>
      <c r="R35" s="733"/>
      <c r="AJ35" s="161"/>
      <c r="AK35" s="161"/>
      <c r="AL35" s="161"/>
      <c r="AM35" s="161"/>
      <c r="AN35" s="161"/>
      <c r="AR35" s="161"/>
    </row>
    <row r="36" spans="2:44" s="25" customFormat="1" ht="15.75" customHeight="1" thickBot="1">
      <c r="R36" s="733"/>
      <c r="AJ36" s="161"/>
      <c r="AK36" s="161"/>
      <c r="AL36" s="161"/>
      <c r="AM36" s="161"/>
      <c r="AN36" s="161"/>
      <c r="AR36" s="161"/>
    </row>
    <row r="37" spans="2:44" s="25" customFormat="1" ht="16.2" customHeight="1" thickBot="1">
      <c r="B37" s="711" t="s">
        <v>58</v>
      </c>
      <c r="C37" s="710"/>
      <c r="D37" s="760"/>
      <c r="E37" s="700" t="s">
        <v>110</v>
      </c>
      <c r="F37" s="701"/>
      <c r="G37" s="702"/>
      <c r="H37" s="701" t="s">
        <v>111</v>
      </c>
      <c r="I37" s="646" t="s">
        <v>237</v>
      </c>
      <c r="J37" s="774"/>
      <c r="K37" s="774"/>
      <c r="L37" s="700" t="s">
        <v>262</v>
      </c>
      <c r="M37" s="710"/>
      <c r="N37" s="702"/>
      <c r="O37" s="759" t="s">
        <v>77</v>
      </c>
      <c r="P37" s="702"/>
      <c r="R37" s="733"/>
      <c r="T37" s="969" t="s">
        <v>78</v>
      </c>
      <c r="U37" s="970"/>
      <c r="V37" s="971"/>
      <c r="W37" s="933" t="s">
        <v>79</v>
      </c>
      <c r="X37" s="934"/>
      <c r="Y37" s="792"/>
      <c r="Z37" s="792"/>
      <c r="AA37" s="792"/>
      <c r="AB37" s="933" t="s">
        <v>80</v>
      </c>
      <c r="AC37" s="935"/>
      <c r="AD37" s="934"/>
      <c r="AE37" s="965" t="s">
        <v>114</v>
      </c>
      <c r="AF37" s="966"/>
      <c r="AG37" s="965" t="s">
        <v>115</v>
      </c>
      <c r="AH37" s="966"/>
      <c r="AI37" s="922" t="s">
        <v>263</v>
      </c>
      <c r="AJ37" s="161"/>
      <c r="AK37" s="161"/>
      <c r="AL37" s="161"/>
      <c r="AM37" s="161"/>
      <c r="AN37" s="161"/>
      <c r="AR37" s="161"/>
    </row>
    <row r="38" spans="2:44" s="25" customFormat="1" ht="31.8" thickBot="1">
      <c r="B38" s="659"/>
      <c r="C38" s="201" t="s">
        <v>84</v>
      </c>
      <c r="D38" s="202" t="s">
        <v>116</v>
      </c>
      <c r="E38" s="86" t="s">
        <v>117</v>
      </c>
      <c r="F38" s="662" t="s">
        <v>118</v>
      </c>
      <c r="G38" s="671"/>
      <c r="H38" s="660"/>
      <c r="I38" s="648"/>
      <c r="J38" s="775"/>
      <c r="K38" s="775"/>
      <c r="L38" s="887"/>
      <c r="M38" s="888"/>
      <c r="N38" s="889"/>
      <c r="O38" s="200" t="s">
        <v>92</v>
      </c>
      <c r="P38" s="90" t="s">
        <v>93</v>
      </c>
      <c r="R38" s="733"/>
      <c r="T38" s="965" t="s">
        <v>94</v>
      </c>
      <c r="U38" s="972"/>
      <c r="V38" s="534" t="s">
        <v>95</v>
      </c>
      <c r="W38" s="112" t="s">
        <v>96</v>
      </c>
      <c r="X38" s="113" t="s">
        <v>95</v>
      </c>
      <c r="Y38" s="375"/>
      <c r="Z38" s="369"/>
      <c r="AA38" s="535"/>
      <c r="AB38" s="112" t="s">
        <v>80</v>
      </c>
      <c r="AC38" s="508" t="s">
        <v>80</v>
      </c>
      <c r="AD38" s="113" t="s">
        <v>97</v>
      </c>
      <c r="AE38" s="112" t="s">
        <v>119</v>
      </c>
      <c r="AF38" s="113" t="s">
        <v>120</v>
      </c>
      <c r="AG38" s="112" t="s">
        <v>121</v>
      </c>
      <c r="AH38" s="113" t="s">
        <v>122</v>
      </c>
      <c r="AI38" s="923"/>
      <c r="AJ38" s="161"/>
      <c r="AK38" s="161"/>
      <c r="AL38" s="161"/>
      <c r="AM38" s="161"/>
      <c r="AN38" s="161"/>
      <c r="AR38" s="161"/>
    </row>
    <row r="39" spans="2:44" s="25" customFormat="1" ht="15.6">
      <c r="B39" s="274">
        <v>1</v>
      </c>
      <c r="C39" s="141" t="s">
        <v>261</v>
      </c>
      <c r="D39" s="142"/>
      <c r="E39" s="143" t="str">
        <f>IF(D39="","",VLOOKUP(D39,'10. Condition and Temporal'!$B$6:$D$103,3,FALSE))</f>
        <v/>
      </c>
      <c r="F39" s="714"/>
      <c r="G39" s="715"/>
      <c r="H39" s="144"/>
      <c r="I39" s="937"/>
      <c r="J39" s="938"/>
      <c r="K39" s="938"/>
      <c r="L39" s="939" t="str">
        <f>IF(D39="","",IFERROR(IF(I39="","",((I39/1000)*(V39*X39))*(AH39*AF39)*AD39*AI39),"This intervention is not permitted within the SSM ▲"))</f>
        <v/>
      </c>
      <c r="M39" s="940"/>
      <c r="N39" s="941"/>
      <c r="O39" s="221"/>
      <c r="P39" s="145"/>
      <c r="Q39" s="106"/>
      <c r="R39" s="733"/>
      <c r="T39" s="973" t="str">
        <f>IF(D39="","",VLOOKUP(D39,'9. All Habitats + Multipliers'!$C$4:$K$102,5,FALSE))</f>
        <v/>
      </c>
      <c r="U39" s="974"/>
      <c r="V39" s="367" t="str">
        <f>IF(T39="","",VLOOKUP(T39,'11. Lists'!$B$47:$D$49,2,FALSE))</f>
        <v/>
      </c>
      <c r="W39" s="365" t="str">
        <f>IF(F39="","",F39)</f>
        <v/>
      </c>
      <c r="X39" s="367" t="str">
        <f>IF(W39="","",VLOOKUP(W39,'11. Lists'!$F$47:$G$51,2,FALSE))</f>
        <v/>
      </c>
      <c r="Y39" s="376"/>
      <c r="Z39" s="347"/>
      <c r="AA39" s="515"/>
      <c r="AB39" s="115" t="str">
        <f>IF(H39="","",H39)</f>
        <v/>
      </c>
      <c r="AC39" s="117" t="str">
        <f>IF(AB39="","",VLOOKUP(AB39,'11. Lists'!$F$36:$H$38,2,FALSE))</f>
        <v/>
      </c>
      <c r="AD39" s="116" t="str">
        <f>IF(AB39="","",VLOOKUP(AB39,'11. Lists'!$F$36:$H$38,3,FALSE))</f>
        <v/>
      </c>
      <c r="AE39" s="365"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8" t="str">
        <f>IF(AE39="","",VLOOKUP(AE39,'11. Lists'!$I$47:$K$80,3,FALSE))</f>
        <v/>
      </c>
      <c r="AG39" s="365" t="str">
        <f>IF(D39="","",VLOOKUP(D39,'9. All Habitats + Multipliers'!$C$4:$K$102,7,FALSE))</f>
        <v/>
      </c>
      <c r="AH39" s="367" t="str">
        <f>IF(AG39="","",VLOOKUP(AG39,'11. Lists'!$J$35:$K$38,2,FALSE))</f>
        <v/>
      </c>
      <c r="AI39" s="536" t="str" cm="1">
        <f t="array" ref="AI39:AI58">IF($D$39:$D$58="Culvert","0.68","1")</f>
        <v>1</v>
      </c>
      <c r="AJ39" s="161"/>
      <c r="AK39" s="161"/>
      <c r="AL39" s="161"/>
      <c r="AM39" s="161"/>
      <c r="AN39" s="161"/>
      <c r="AR39" s="161"/>
    </row>
    <row r="40" spans="2:44" s="25" customFormat="1" ht="15.6">
      <c r="B40" s="268">
        <v>2</v>
      </c>
      <c r="C40" s="140" t="s">
        <v>261</v>
      </c>
      <c r="D40" s="73"/>
      <c r="E40" s="105" t="str">
        <f>IF(D40="","",VLOOKUP(D40,'10. Condition and Temporal'!$B$6:$D$103,3,FALSE))</f>
        <v/>
      </c>
      <c r="F40" s="694"/>
      <c r="G40" s="695"/>
      <c r="H40" s="71"/>
      <c r="I40" s="716"/>
      <c r="J40" s="717"/>
      <c r="K40" s="717"/>
      <c r="L40" s="939" t="str">
        <f t="shared" ref="L40:L58" si="9">IF(D40="","",IFERROR(IF(I40="","",((I40/1000)*(V40*X40))*(AH40*AF40)*AD40*AI40),"This intervention is not permitted within the SSM ▲"))</f>
        <v/>
      </c>
      <c r="M40" s="940"/>
      <c r="N40" s="941"/>
      <c r="O40" s="74"/>
      <c r="P40" s="12"/>
      <c r="Q40" s="106"/>
      <c r="R40" s="733"/>
      <c r="T40" s="779" t="str">
        <f>IF(D40="","",VLOOKUP(D40,'9. All Habitats + Multipliers'!$C$4:$K$102,5,FALSE))</f>
        <v/>
      </c>
      <c r="U40" s="780"/>
      <c r="V40" s="94" t="str">
        <f>IF(T40="","",VLOOKUP(T40,'11. Lists'!$B$47:$D$49,2,FALSE))</f>
        <v/>
      </c>
      <c r="W40" s="93" t="str">
        <f>IF(F40="","",F40)</f>
        <v/>
      </c>
      <c r="X40" s="94" t="str">
        <f>IF(W40="","",VLOOKUP(W40,'11. Lists'!$F$47:$G$51,2,FALSE))</f>
        <v/>
      </c>
      <c r="Y40" s="376"/>
      <c r="Z40" s="347"/>
      <c r="AA40" s="515"/>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90" t="str">
        <v>1</v>
      </c>
      <c r="AJ40" s="161"/>
      <c r="AK40" s="161"/>
      <c r="AL40" s="161"/>
      <c r="AM40" s="161"/>
      <c r="AN40" s="161"/>
      <c r="AR40" s="161"/>
    </row>
    <row r="41" spans="2:44" s="25" customFormat="1" ht="15.6">
      <c r="B41" s="268">
        <v>3</v>
      </c>
      <c r="C41" s="140" t="s">
        <v>261</v>
      </c>
      <c r="D41" s="73"/>
      <c r="E41" s="105" t="str">
        <f>IF(D41="","",VLOOKUP(D41,'10. Condition and Temporal'!$B$6:$D$103,3,FALSE))</f>
        <v/>
      </c>
      <c r="F41" s="694"/>
      <c r="G41" s="695"/>
      <c r="H41" s="71"/>
      <c r="I41" s="716"/>
      <c r="J41" s="717"/>
      <c r="K41" s="717"/>
      <c r="L41" s="939" t="str">
        <f t="shared" si="9"/>
        <v/>
      </c>
      <c r="M41" s="940"/>
      <c r="N41" s="941"/>
      <c r="O41" s="74"/>
      <c r="P41" s="12"/>
      <c r="Q41" s="106"/>
      <c r="R41" s="733"/>
      <c r="T41" s="779" t="str">
        <f>IF(D41="","",VLOOKUP(D41,'9. All Habitats + Multipliers'!$C$4:$K$102,5,FALSE))</f>
        <v/>
      </c>
      <c r="U41" s="780"/>
      <c r="V41" s="94" t="str">
        <f>IF(T41="","",VLOOKUP(T41,'11. Lists'!$B$47:$D$49,2,FALSE))</f>
        <v/>
      </c>
      <c r="W41" s="93" t="str">
        <f>IF(F41="","",F41)</f>
        <v/>
      </c>
      <c r="X41" s="94" t="str">
        <f>IF(W41="","",VLOOKUP(W41,'11. Lists'!$F$47:$G$51,2,FALSE))</f>
        <v/>
      </c>
      <c r="Y41" s="376"/>
      <c r="Z41" s="347"/>
      <c r="AA41" s="515"/>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90" t="str">
        <v>1</v>
      </c>
      <c r="AJ41" s="161"/>
      <c r="AK41" s="161"/>
      <c r="AL41" s="161"/>
      <c r="AM41" s="161"/>
      <c r="AN41" s="161"/>
      <c r="AR41" s="161"/>
    </row>
    <row r="42" spans="2:44" s="25" customFormat="1" ht="15.6">
      <c r="B42" s="268">
        <v>4</v>
      </c>
      <c r="C42" s="140" t="s">
        <v>261</v>
      </c>
      <c r="D42" s="73"/>
      <c r="E42" s="105" t="str">
        <f>IF(D42="","",VLOOKUP(D42,'10. Condition and Temporal'!$B$6:$D$103,3,FALSE))</f>
        <v/>
      </c>
      <c r="F42" s="694"/>
      <c r="G42" s="695"/>
      <c r="H42" s="71"/>
      <c r="I42" s="716"/>
      <c r="J42" s="717"/>
      <c r="K42" s="717"/>
      <c r="L42" s="939" t="str">
        <f t="shared" si="9"/>
        <v/>
      </c>
      <c r="M42" s="940"/>
      <c r="N42" s="941"/>
      <c r="O42" s="74"/>
      <c r="P42" s="12"/>
      <c r="Q42" s="106"/>
      <c r="R42" s="733"/>
      <c r="T42" s="779" t="str">
        <f>IF(D42="","",VLOOKUP(D42,'9. All Habitats + Multipliers'!$C$4:$K$102,5,FALSE))</f>
        <v/>
      </c>
      <c r="U42" s="780"/>
      <c r="V42" s="94" t="str">
        <f>IF(T42="","",VLOOKUP(T42,'11. Lists'!$B$47:$D$49,2,FALSE))</f>
        <v/>
      </c>
      <c r="W42" s="93" t="str">
        <f>IF(F42="","",F42)</f>
        <v/>
      </c>
      <c r="X42" s="94" t="str">
        <f>IF(W42="","",VLOOKUP(W42,'11. Lists'!$F$47:$G$51,2,FALSE))</f>
        <v/>
      </c>
      <c r="Y42" s="376"/>
      <c r="Z42" s="347"/>
      <c r="AA42" s="515"/>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90" t="str">
        <v>1</v>
      </c>
      <c r="AJ42" s="161"/>
      <c r="AK42" s="161"/>
      <c r="AL42" s="161"/>
      <c r="AM42" s="161"/>
      <c r="AN42" s="161"/>
      <c r="AR42" s="161"/>
    </row>
    <row r="43" spans="2:44" s="25" customFormat="1" ht="15.6">
      <c r="B43" s="268">
        <v>5</v>
      </c>
      <c r="C43" s="140" t="s">
        <v>261</v>
      </c>
      <c r="D43" s="73"/>
      <c r="E43" s="105" t="str">
        <f>IF(D43="","",VLOOKUP(D43,'10. Condition and Temporal'!$B$6:$D$103,3,FALSE))</f>
        <v/>
      </c>
      <c r="F43" s="694"/>
      <c r="G43" s="695"/>
      <c r="H43" s="71"/>
      <c r="I43" s="716"/>
      <c r="J43" s="717"/>
      <c r="K43" s="717"/>
      <c r="L43" s="939" t="str">
        <f t="shared" si="9"/>
        <v/>
      </c>
      <c r="M43" s="940"/>
      <c r="N43" s="941"/>
      <c r="O43" s="74"/>
      <c r="P43" s="12"/>
      <c r="R43" s="733"/>
      <c r="T43" s="779" t="str">
        <f>IF(D43="","",VLOOKUP(D43,'9. All Habitats + Multipliers'!$C$4:$K$102,5,FALSE))</f>
        <v/>
      </c>
      <c r="U43" s="780"/>
      <c r="V43" s="94" t="str">
        <f>IF(T43="","",VLOOKUP(T43,'11. Lists'!$B$47:$D$49,2,FALSE))</f>
        <v/>
      </c>
      <c r="W43" s="93" t="str">
        <f t="shared" ref="W43:W58" si="11">IF(F43="","",F43)</f>
        <v/>
      </c>
      <c r="X43" s="94" t="str">
        <f>IF(W43="","",VLOOKUP(W43,'11. Lists'!$F$47:$G$51,2,FALSE))</f>
        <v/>
      </c>
      <c r="Y43" s="376"/>
      <c r="Z43" s="347"/>
      <c r="AA43" s="515"/>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90" t="str">
        <v>1</v>
      </c>
      <c r="AJ43" s="161"/>
      <c r="AK43" s="161"/>
      <c r="AL43" s="161"/>
      <c r="AM43" s="161"/>
      <c r="AN43" s="161"/>
      <c r="AR43" s="161"/>
    </row>
    <row r="44" spans="2:44" s="25" customFormat="1" ht="15.6">
      <c r="B44" s="268">
        <v>6</v>
      </c>
      <c r="C44" s="140" t="s">
        <v>261</v>
      </c>
      <c r="D44" s="73"/>
      <c r="E44" s="105" t="str">
        <f>IF(D44="","",VLOOKUP(D44,'10. Condition and Temporal'!$B$6:$D$103,3,FALSE))</f>
        <v/>
      </c>
      <c r="F44" s="694"/>
      <c r="G44" s="695"/>
      <c r="H44" s="71"/>
      <c r="I44" s="716"/>
      <c r="J44" s="717"/>
      <c r="K44" s="717"/>
      <c r="L44" s="939" t="str">
        <f t="shared" si="9"/>
        <v/>
      </c>
      <c r="M44" s="940"/>
      <c r="N44" s="941"/>
      <c r="O44" s="74"/>
      <c r="P44" s="12"/>
      <c r="R44" s="733"/>
      <c r="T44" s="779" t="str">
        <f>IF(D44="","",VLOOKUP(D44,'9. All Habitats + Multipliers'!$C$4:$K$102,5,FALSE))</f>
        <v/>
      </c>
      <c r="U44" s="780"/>
      <c r="V44" s="94" t="str">
        <f>IF(T44="","",VLOOKUP(T44,'11. Lists'!$B$47:$D$49,2,FALSE))</f>
        <v/>
      </c>
      <c r="W44" s="93" t="str">
        <f t="shared" si="11"/>
        <v/>
      </c>
      <c r="X44" s="94" t="str">
        <f>IF(W44="","",VLOOKUP(W44,'11. Lists'!$F$47:$G$51,2,FALSE))</f>
        <v/>
      </c>
      <c r="Y44" s="376"/>
      <c r="Z44" s="347"/>
      <c r="AA44" s="515"/>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90" t="str">
        <v>1</v>
      </c>
      <c r="AJ44" s="161"/>
      <c r="AK44" s="161"/>
      <c r="AL44" s="161"/>
      <c r="AM44" s="161"/>
      <c r="AN44" s="161"/>
      <c r="AR44" s="161"/>
    </row>
    <row r="45" spans="2:44" s="25" customFormat="1" ht="15.6">
      <c r="B45" s="268">
        <v>7</v>
      </c>
      <c r="C45" s="140" t="s">
        <v>261</v>
      </c>
      <c r="D45" s="73"/>
      <c r="E45" s="105" t="str">
        <f>IF(D45="","",VLOOKUP(D45,'10. Condition and Temporal'!$B$6:$D$103,3,FALSE))</f>
        <v/>
      </c>
      <c r="F45" s="694"/>
      <c r="G45" s="695"/>
      <c r="H45" s="71"/>
      <c r="I45" s="716"/>
      <c r="J45" s="717"/>
      <c r="K45" s="717"/>
      <c r="L45" s="939" t="str">
        <f t="shared" si="9"/>
        <v/>
      </c>
      <c r="M45" s="940"/>
      <c r="N45" s="941"/>
      <c r="O45" s="74"/>
      <c r="P45" s="12"/>
      <c r="R45" s="733"/>
      <c r="T45" s="779" t="str">
        <f>IF(D45="","",VLOOKUP(D45,'9. All Habitats + Multipliers'!$C$4:$K$102,5,FALSE))</f>
        <v/>
      </c>
      <c r="U45" s="780"/>
      <c r="V45" s="94" t="str">
        <f>IF(T45="","",VLOOKUP(T45,'11. Lists'!$B$47:$D$49,2,FALSE))</f>
        <v/>
      </c>
      <c r="W45" s="93" t="str">
        <f t="shared" si="11"/>
        <v/>
      </c>
      <c r="X45" s="94" t="str">
        <f>IF(W45="","",VLOOKUP(W45,'11. Lists'!$F$47:$G$51,2,FALSE))</f>
        <v/>
      </c>
      <c r="Y45" s="376"/>
      <c r="Z45" s="347"/>
      <c r="AA45" s="515"/>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90" t="str">
        <v>1</v>
      </c>
      <c r="AJ45" s="161"/>
      <c r="AK45" s="161"/>
      <c r="AL45" s="161"/>
      <c r="AM45" s="161"/>
      <c r="AN45" s="161"/>
      <c r="AR45" s="161"/>
    </row>
    <row r="46" spans="2:44" s="25" customFormat="1" ht="15.6">
      <c r="B46" s="268">
        <v>8</v>
      </c>
      <c r="C46" s="140" t="s">
        <v>261</v>
      </c>
      <c r="D46" s="73"/>
      <c r="E46" s="105" t="str">
        <f>IF(D46="","",VLOOKUP(D46,'10. Condition and Temporal'!$B$6:$D$103,3,FALSE))</f>
        <v/>
      </c>
      <c r="F46" s="694"/>
      <c r="G46" s="695"/>
      <c r="H46" s="71"/>
      <c r="I46" s="716"/>
      <c r="J46" s="717"/>
      <c r="K46" s="717"/>
      <c r="L46" s="939" t="str">
        <f t="shared" si="9"/>
        <v/>
      </c>
      <c r="M46" s="940"/>
      <c r="N46" s="941"/>
      <c r="O46" s="74"/>
      <c r="P46" s="12"/>
      <c r="R46" s="733"/>
      <c r="T46" s="779" t="str">
        <f>IF(D46="","",VLOOKUP(D46,'9. All Habitats + Multipliers'!$C$4:$K$102,5,FALSE))</f>
        <v/>
      </c>
      <c r="U46" s="780"/>
      <c r="V46" s="94" t="str">
        <f>IF(T46="","",VLOOKUP(T46,'11. Lists'!$B$47:$D$49,2,FALSE))</f>
        <v/>
      </c>
      <c r="W46" s="93" t="str">
        <f t="shared" si="11"/>
        <v/>
      </c>
      <c r="X46" s="94" t="str">
        <f>IF(W46="","",VLOOKUP(W46,'11. Lists'!$F$47:$G$51,2,FALSE))</f>
        <v/>
      </c>
      <c r="Y46" s="376"/>
      <c r="Z46" s="347"/>
      <c r="AA46" s="515"/>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90" t="str">
        <v>1</v>
      </c>
      <c r="AJ46" s="161"/>
      <c r="AK46" s="161"/>
      <c r="AL46" s="161"/>
      <c r="AM46" s="161"/>
      <c r="AN46" s="161"/>
      <c r="AR46" s="161"/>
    </row>
    <row r="47" spans="2:44" s="25" customFormat="1" ht="15.6">
      <c r="B47" s="268">
        <v>9</v>
      </c>
      <c r="C47" s="140" t="s">
        <v>261</v>
      </c>
      <c r="D47" s="73"/>
      <c r="E47" s="105" t="str">
        <f>IF(D47="","",VLOOKUP(D47,'10. Condition and Temporal'!$B$6:$D$103,3,FALSE))</f>
        <v/>
      </c>
      <c r="F47" s="694"/>
      <c r="G47" s="695"/>
      <c r="H47" s="71"/>
      <c r="I47" s="716"/>
      <c r="J47" s="717"/>
      <c r="K47" s="717"/>
      <c r="L47" s="939" t="str">
        <f t="shared" si="9"/>
        <v/>
      </c>
      <c r="M47" s="940"/>
      <c r="N47" s="941"/>
      <c r="O47" s="74"/>
      <c r="P47" s="12"/>
      <c r="R47" s="733"/>
      <c r="T47" s="779" t="str">
        <f>IF(D47="","",VLOOKUP(D47,'9. All Habitats + Multipliers'!$C$4:$K$102,5,FALSE))</f>
        <v/>
      </c>
      <c r="U47" s="780"/>
      <c r="V47" s="94" t="str">
        <f>IF(T47="","",VLOOKUP(T47,'11. Lists'!$B$47:$D$49,2,FALSE))</f>
        <v/>
      </c>
      <c r="W47" s="93" t="str">
        <f t="shared" si="11"/>
        <v/>
      </c>
      <c r="X47" s="94" t="str">
        <f>IF(W47="","",VLOOKUP(W47,'11. Lists'!$F$47:$G$51,2,FALSE))</f>
        <v/>
      </c>
      <c r="Y47" s="376"/>
      <c r="Z47" s="347"/>
      <c r="AA47" s="515"/>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90" t="str">
        <v>1</v>
      </c>
      <c r="AJ47" s="161"/>
      <c r="AK47" s="161"/>
      <c r="AL47" s="161"/>
      <c r="AM47" s="161"/>
      <c r="AN47" s="161"/>
      <c r="AR47" s="161"/>
    </row>
    <row r="48" spans="2:44" s="25" customFormat="1" ht="15.6">
      <c r="B48" s="268">
        <v>10</v>
      </c>
      <c r="C48" s="140" t="s">
        <v>261</v>
      </c>
      <c r="D48" s="73"/>
      <c r="E48" s="105" t="str">
        <f>IF(D48="","",VLOOKUP(D48,'10. Condition and Temporal'!$B$6:$D$103,3,FALSE))</f>
        <v/>
      </c>
      <c r="F48" s="694"/>
      <c r="G48" s="695"/>
      <c r="H48" s="71"/>
      <c r="I48" s="716"/>
      <c r="J48" s="717"/>
      <c r="K48" s="717"/>
      <c r="L48" s="939" t="str">
        <f t="shared" si="9"/>
        <v/>
      </c>
      <c r="M48" s="940"/>
      <c r="N48" s="941"/>
      <c r="O48" s="74"/>
      <c r="P48" s="12"/>
      <c r="R48" s="733"/>
      <c r="T48" s="779" t="str">
        <f>IF(D48="","",VLOOKUP(D48,'9. All Habitats + Multipliers'!$C$4:$K$102,5,FALSE))</f>
        <v/>
      </c>
      <c r="U48" s="780"/>
      <c r="V48" s="94" t="str">
        <f>IF(T48="","",VLOOKUP(T48,'11. Lists'!$B$47:$D$49,2,FALSE))</f>
        <v/>
      </c>
      <c r="W48" s="93" t="str">
        <f t="shared" si="11"/>
        <v/>
      </c>
      <c r="X48" s="94" t="str">
        <f>IF(W48="","",VLOOKUP(W48,'11. Lists'!$F$47:$G$51,2,FALSE))</f>
        <v/>
      </c>
      <c r="Y48" s="376"/>
      <c r="Z48" s="347"/>
      <c r="AA48" s="515"/>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90" t="str">
        <v>1</v>
      </c>
      <c r="AJ48" s="161"/>
      <c r="AK48" s="161"/>
      <c r="AL48" s="161"/>
      <c r="AM48" s="161"/>
      <c r="AN48" s="161"/>
      <c r="AR48" s="161"/>
    </row>
    <row r="49" spans="1:73" s="25" customFormat="1" ht="15.6">
      <c r="B49" s="268">
        <v>11</v>
      </c>
      <c r="C49" s="140" t="s">
        <v>261</v>
      </c>
      <c r="D49" s="73"/>
      <c r="E49" s="105" t="str">
        <f>IF(D49="","",VLOOKUP(D49,'10. Condition and Temporal'!$B$6:$D$103,3,FALSE))</f>
        <v/>
      </c>
      <c r="F49" s="694"/>
      <c r="G49" s="695"/>
      <c r="H49" s="71"/>
      <c r="I49" s="716"/>
      <c r="J49" s="717"/>
      <c r="K49" s="717"/>
      <c r="L49" s="939" t="str">
        <f t="shared" si="9"/>
        <v/>
      </c>
      <c r="M49" s="940"/>
      <c r="N49" s="941"/>
      <c r="O49" s="74"/>
      <c r="P49" s="12"/>
      <c r="R49" s="733"/>
      <c r="T49" s="779" t="str">
        <f>IF(D49="","",VLOOKUP(D49,'9. All Habitats + Multipliers'!$C$4:$K$102,5,FALSE))</f>
        <v/>
      </c>
      <c r="U49" s="780"/>
      <c r="V49" s="94" t="str">
        <f>IF(T49="","",VLOOKUP(T49,'11. Lists'!$B$47:$D$49,2,FALSE))</f>
        <v/>
      </c>
      <c r="W49" s="93" t="str">
        <f t="shared" si="11"/>
        <v/>
      </c>
      <c r="X49" s="94" t="str">
        <f>IF(W49="","",VLOOKUP(W49,'11. Lists'!$F$47:$G$51,2,FALSE))</f>
        <v/>
      </c>
      <c r="Y49" s="376"/>
      <c r="Z49" s="347"/>
      <c r="AA49" s="515"/>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90" t="str">
        <v>1</v>
      </c>
      <c r="AJ49" s="161"/>
      <c r="AK49" s="161"/>
      <c r="AL49" s="161"/>
      <c r="AM49" s="161"/>
      <c r="AN49" s="161"/>
      <c r="AR49" s="161"/>
    </row>
    <row r="50" spans="1:73" s="25" customFormat="1" ht="15.6">
      <c r="B50" s="268">
        <v>12</v>
      </c>
      <c r="C50" s="140" t="s">
        <v>261</v>
      </c>
      <c r="D50" s="73"/>
      <c r="E50" s="105" t="str">
        <f>IF(D50="","",VLOOKUP(D50,'10. Condition and Temporal'!$B$6:$D$103,3,FALSE))</f>
        <v/>
      </c>
      <c r="F50" s="694"/>
      <c r="G50" s="695"/>
      <c r="H50" s="71"/>
      <c r="I50" s="716"/>
      <c r="J50" s="717"/>
      <c r="K50" s="717"/>
      <c r="L50" s="939" t="str">
        <f t="shared" si="9"/>
        <v/>
      </c>
      <c r="M50" s="940"/>
      <c r="N50" s="941"/>
      <c r="O50" s="74"/>
      <c r="P50" s="12"/>
      <c r="R50" s="733"/>
      <c r="T50" s="779" t="str">
        <f>IF(D50="","",VLOOKUP(D50,'9. All Habitats + Multipliers'!$C$4:$K$102,5,FALSE))</f>
        <v/>
      </c>
      <c r="U50" s="780"/>
      <c r="V50" s="94" t="str">
        <f>IF(T50="","",VLOOKUP(T50,'11. Lists'!$B$47:$D$49,2,FALSE))</f>
        <v/>
      </c>
      <c r="W50" s="93" t="str">
        <f t="shared" si="11"/>
        <v/>
      </c>
      <c r="X50" s="94" t="str">
        <f>IF(W50="","",VLOOKUP(W50,'11. Lists'!$F$47:$G$51,2,FALSE))</f>
        <v/>
      </c>
      <c r="Y50" s="376"/>
      <c r="Z50" s="347"/>
      <c r="AA50" s="515"/>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90" t="str">
        <v>1</v>
      </c>
      <c r="AJ50" s="161"/>
      <c r="AK50" s="161"/>
      <c r="AL50" s="161"/>
      <c r="AM50" s="161"/>
      <c r="AN50" s="161"/>
    </row>
    <row r="51" spans="1:73" s="25" customFormat="1" ht="15.6">
      <c r="B51" s="268">
        <v>13</v>
      </c>
      <c r="C51" s="140" t="s">
        <v>261</v>
      </c>
      <c r="D51" s="73"/>
      <c r="E51" s="105" t="str">
        <f>IF(D51="","",VLOOKUP(D51,'10. Condition and Temporal'!$B$6:$D$103,3,FALSE))</f>
        <v/>
      </c>
      <c r="F51" s="694"/>
      <c r="G51" s="695"/>
      <c r="H51" s="71"/>
      <c r="I51" s="716"/>
      <c r="J51" s="717"/>
      <c r="K51" s="717"/>
      <c r="L51" s="939" t="str">
        <f t="shared" si="9"/>
        <v/>
      </c>
      <c r="M51" s="940"/>
      <c r="N51" s="941"/>
      <c r="O51" s="74"/>
      <c r="P51" s="12"/>
      <c r="R51" s="733"/>
      <c r="T51" s="779" t="str">
        <f>IF(D51="","",VLOOKUP(D51,'9. All Habitats + Multipliers'!$C$4:$K$102,5,FALSE))</f>
        <v/>
      </c>
      <c r="U51" s="780"/>
      <c r="V51" s="94" t="str">
        <f>IF(T51="","",VLOOKUP(T51,'11. Lists'!$B$47:$D$49,2,FALSE))</f>
        <v/>
      </c>
      <c r="W51" s="93" t="str">
        <f t="shared" si="11"/>
        <v/>
      </c>
      <c r="X51" s="94" t="str">
        <f>IF(W51="","",VLOOKUP(W51,'11. Lists'!$F$47:$G$51,2,FALSE))</f>
        <v/>
      </c>
      <c r="Y51" s="376"/>
      <c r="Z51" s="347"/>
      <c r="AA51" s="515"/>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90" t="str">
        <v>1</v>
      </c>
      <c r="AJ51" s="161"/>
      <c r="AK51" s="161"/>
      <c r="AL51" s="161"/>
      <c r="AM51" s="161"/>
      <c r="AN51" s="161"/>
    </row>
    <row r="52" spans="1:73" s="25" customFormat="1" ht="15.6">
      <c r="B52" s="268">
        <v>14</v>
      </c>
      <c r="C52" s="140" t="s">
        <v>261</v>
      </c>
      <c r="D52" s="73"/>
      <c r="E52" s="105" t="str">
        <f>IF(D52="","",VLOOKUP(D52,'10. Condition and Temporal'!$B$6:$D$103,3,FALSE))</f>
        <v/>
      </c>
      <c r="F52" s="694"/>
      <c r="G52" s="695"/>
      <c r="H52" s="71"/>
      <c r="I52" s="716"/>
      <c r="J52" s="717"/>
      <c r="K52" s="717"/>
      <c r="L52" s="939" t="str">
        <f t="shared" si="9"/>
        <v/>
      </c>
      <c r="M52" s="940"/>
      <c r="N52" s="941"/>
      <c r="O52" s="74"/>
      <c r="P52" s="12"/>
      <c r="R52" s="733"/>
      <c r="T52" s="779" t="str">
        <f>IF(D52="","",VLOOKUP(D52,'9. All Habitats + Multipliers'!$C$4:$K$102,5,FALSE))</f>
        <v/>
      </c>
      <c r="U52" s="780"/>
      <c r="V52" s="94" t="str">
        <f>IF(T52="","",VLOOKUP(T52,'11. Lists'!$B$47:$D$49,2,FALSE))</f>
        <v/>
      </c>
      <c r="W52" s="93" t="str">
        <f t="shared" si="11"/>
        <v/>
      </c>
      <c r="X52" s="94" t="str">
        <f>IF(W52="","",VLOOKUP(W52,'11. Lists'!$F$47:$G$51,2,FALSE))</f>
        <v/>
      </c>
      <c r="Y52" s="376"/>
      <c r="Z52" s="347"/>
      <c r="AA52" s="515"/>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90" t="str">
        <v>1</v>
      </c>
      <c r="AJ52" s="161"/>
      <c r="AK52" s="161"/>
      <c r="AL52" s="161"/>
      <c r="AM52" s="161"/>
      <c r="AN52" s="161"/>
    </row>
    <row r="53" spans="1:73" s="25" customFormat="1" ht="15.6">
      <c r="B53" s="268">
        <v>15</v>
      </c>
      <c r="C53" s="140" t="s">
        <v>261</v>
      </c>
      <c r="D53" s="73"/>
      <c r="E53" s="105" t="str">
        <f>IF(D53="","",VLOOKUP(D53,'10. Condition and Temporal'!$B$6:$D$103,3,FALSE))</f>
        <v/>
      </c>
      <c r="F53" s="694"/>
      <c r="G53" s="695"/>
      <c r="H53" s="71"/>
      <c r="I53" s="716"/>
      <c r="J53" s="717"/>
      <c r="K53" s="717"/>
      <c r="L53" s="939" t="str">
        <f t="shared" si="9"/>
        <v/>
      </c>
      <c r="M53" s="940"/>
      <c r="N53" s="941"/>
      <c r="O53" s="74"/>
      <c r="P53" s="12"/>
      <c r="R53" s="733"/>
      <c r="T53" s="779" t="str">
        <f>IF(D53="","",VLOOKUP(D53,'9. All Habitats + Multipliers'!$C$4:$K$102,5,FALSE))</f>
        <v/>
      </c>
      <c r="U53" s="780"/>
      <c r="V53" s="94" t="str">
        <f>IF(T53="","",VLOOKUP(T53,'11. Lists'!$B$47:$D$49,2,FALSE))</f>
        <v/>
      </c>
      <c r="W53" s="93" t="str">
        <f t="shared" si="11"/>
        <v/>
      </c>
      <c r="X53" s="94" t="str">
        <f>IF(W53="","",VLOOKUP(W53,'11. Lists'!$F$47:$G$51,2,FALSE))</f>
        <v/>
      </c>
      <c r="Y53" s="376"/>
      <c r="Z53" s="347"/>
      <c r="AA53" s="515"/>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90" t="str">
        <v>1</v>
      </c>
      <c r="AJ53" s="161"/>
      <c r="AK53" s="161"/>
      <c r="AL53" s="161"/>
      <c r="AM53" s="161"/>
      <c r="AN53" s="161"/>
    </row>
    <row r="54" spans="1:73" s="25" customFormat="1" ht="15.6">
      <c r="B54" s="268">
        <v>16</v>
      </c>
      <c r="C54" s="140" t="s">
        <v>261</v>
      </c>
      <c r="D54" s="73"/>
      <c r="E54" s="105" t="str">
        <f>IF(D54="","",VLOOKUP(D54,'10. Condition and Temporal'!$B$6:$D$103,3,FALSE))</f>
        <v/>
      </c>
      <c r="F54" s="694"/>
      <c r="G54" s="695"/>
      <c r="H54" s="71"/>
      <c r="I54" s="716"/>
      <c r="J54" s="717"/>
      <c r="K54" s="717"/>
      <c r="L54" s="939" t="str">
        <f t="shared" si="9"/>
        <v/>
      </c>
      <c r="M54" s="940"/>
      <c r="N54" s="941"/>
      <c r="O54" s="74"/>
      <c r="P54" s="12"/>
      <c r="R54" s="733"/>
      <c r="T54" s="779" t="str">
        <f>IF(D54="","",VLOOKUP(D54,'9. All Habitats + Multipliers'!$C$4:$K$102,5,FALSE))</f>
        <v/>
      </c>
      <c r="U54" s="780"/>
      <c r="V54" s="94" t="str">
        <f>IF(T54="","",VLOOKUP(T54,'11. Lists'!$B$47:$D$49,2,FALSE))</f>
        <v/>
      </c>
      <c r="W54" s="93" t="str">
        <f t="shared" si="11"/>
        <v/>
      </c>
      <c r="X54" s="94" t="str">
        <f>IF(W54="","",VLOOKUP(W54,'11. Lists'!$F$47:$G$51,2,FALSE))</f>
        <v/>
      </c>
      <c r="Y54" s="376"/>
      <c r="Z54" s="347"/>
      <c r="AA54" s="515"/>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90" t="str">
        <v>1</v>
      </c>
      <c r="AJ54" s="161"/>
      <c r="AK54" s="161"/>
      <c r="AL54" s="161"/>
      <c r="AM54" s="161"/>
      <c r="AN54" s="161"/>
    </row>
    <row r="55" spans="1:73" s="25" customFormat="1" ht="15.6">
      <c r="B55" s="268">
        <v>17</v>
      </c>
      <c r="C55" s="140" t="s">
        <v>261</v>
      </c>
      <c r="D55" s="73"/>
      <c r="E55" s="105" t="str">
        <f>IF(D55="","",VLOOKUP(D55,'10. Condition and Temporal'!$B$6:$D$103,3,FALSE))</f>
        <v/>
      </c>
      <c r="F55" s="694"/>
      <c r="G55" s="695"/>
      <c r="H55" s="71"/>
      <c r="I55" s="716"/>
      <c r="J55" s="717"/>
      <c r="K55" s="717"/>
      <c r="L55" s="939" t="str">
        <f t="shared" si="9"/>
        <v/>
      </c>
      <c r="M55" s="940"/>
      <c r="N55" s="941"/>
      <c r="O55" s="74"/>
      <c r="P55" s="12"/>
      <c r="R55" s="733"/>
      <c r="T55" s="779" t="str">
        <f>IF(D55="","",VLOOKUP(D55,'9. All Habitats + Multipliers'!$C$4:$K$102,5,FALSE))</f>
        <v/>
      </c>
      <c r="U55" s="780"/>
      <c r="V55" s="94" t="str">
        <f>IF(T55="","",VLOOKUP(T55,'11. Lists'!$B$47:$D$49,2,FALSE))</f>
        <v/>
      </c>
      <c r="W55" s="93" t="str">
        <f t="shared" si="11"/>
        <v/>
      </c>
      <c r="X55" s="94" t="str">
        <f>IF(W55="","",VLOOKUP(W55,'11. Lists'!$F$47:$G$51,2,FALSE))</f>
        <v/>
      </c>
      <c r="Y55" s="376"/>
      <c r="Z55" s="347"/>
      <c r="AA55" s="515"/>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90" t="str">
        <v>1</v>
      </c>
      <c r="AJ55" s="161"/>
      <c r="AK55" s="161"/>
      <c r="AL55" s="161"/>
      <c r="AM55" s="161"/>
      <c r="AN55" s="161"/>
    </row>
    <row r="56" spans="1:73" s="25" customFormat="1" ht="15.6">
      <c r="B56" s="268">
        <v>18</v>
      </c>
      <c r="C56" s="140" t="s">
        <v>261</v>
      </c>
      <c r="D56" s="73"/>
      <c r="E56" s="105" t="str">
        <f>IF(D56="","",VLOOKUP(D56,'10. Condition and Temporal'!$B$6:$D$103,3,FALSE))</f>
        <v/>
      </c>
      <c r="F56" s="694"/>
      <c r="G56" s="695"/>
      <c r="H56" s="71"/>
      <c r="I56" s="716"/>
      <c r="J56" s="717"/>
      <c r="K56" s="717"/>
      <c r="L56" s="939" t="str">
        <f t="shared" si="9"/>
        <v/>
      </c>
      <c r="M56" s="940"/>
      <c r="N56" s="941"/>
      <c r="O56" s="74"/>
      <c r="P56" s="12"/>
      <c r="R56" s="733"/>
      <c r="T56" s="779" t="str">
        <f>IF(D56="","",VLOOKUP(D56,'9. All Habitats + Multipliers'!$C$4:$K$102,5,FALSE))</f>
        <v/>
      </c>
      <c r="U56" s="780"/>
      <c r="V56" s="94" t="str">
        <f>IF(T56="","",VLOOKUP(T56,'11. Lists'!$B$47:$D$49,2,FALSE))</f>
        <v/>
      </c>
      <c r="W56" s="93" t="str">
        <f t="shared" si="11"/>
        <v/>
      </c>
      <c r="X56" s="94" t="str">
        <f>IF(W56="","",VLOOKUP(W56,'11. Lists'!$F$47:$G$51,2,FALSE))</f>
        <v/>
      </c>
      <c r="Y56" s="376"/>
      <c r="Z56" s="347"/>
      <c r="AA56" s="515"/>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90" t="str">
        <v>1</v>
      </c>
      <c r="AJ56" s="161"/>
      <c r="AK56" s="161"/>
      <c r="AL56" s="161"/>
      <c r="AM56" s="161"/>
      <c r="AN56" s="161"/>
    </row>
    <row r="57" spans="1:73" s="25" customFormat="1" ht="15.6">
      <c r="B57" s="268">
        <v>19</v>
      </c>
      <c r="C57" s="140" t="s">
        <v>261</v>
      </c>
      <c r="D57" s="73"/>
      <c r="E57" s="105" t="str">
        <f>IF(D57="","",VLOOKUP(D57,'10. Condition and Temporal'!$B$6:$D$103,3,FALSE))</f>
        <v/>
      </c>
      <c r="F57" s="694"/>
      <c r="G57" s="695"/>
      <c r="H57" s="71"/>
      <c r="I57" s="716"/>
      <c r="J57" s="717"/>
      <c r="K57" s="717"/>
      <c r="L57" s="939" t="str">
        <f t="shared" si="9"/>
        <v/>
      </c>
      <c r="M57" s="940"/>
      <c r="N57" s="941"/>
      <c r="O57" s="74"/>
      <c r="P57" s="12"/>
      <c r="R57" s="733"/>
      <c r="T57" s="779" t="str">
        <f>IF(D57="","",VLOOKUP(D57,'9. All Habitats + Multipliers'!$C$4:$K$102,5,FALSE))</f>
        <v/>
      </c>
      <c r="U57" s="780"/>
      <c r="V57" s="94" t="str">
        <f>IF(T57="","",VLOOKUP(T57,'11. Lists'!$B$47:$D$49,2,FALSE))</f>
        <v/>
      </c>
      <c r="W57" s="93" t="str">
        <f t="shared" si="11"/>
        <v/>
      </c>
      <c r="X57" s="94" t="str">
        <f>IF(W57="","",VLOOKUP(W57,'11. Lists'!$F$47:$G$51,2,FALSE))</f>
        <v/>
      </c>
      <c r="Y57" s="376"/>
      <c r="Z57" s="347"/>
      <c r="AA57" s="515"/>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90" t="str">
        <v>1</v>
      </c>
      <c r="AJ57" s="161"/>
      <c r="AK57" s="161"/>
      <c r="AL57" s="161"/>
      <c r="AM57" s="161"/>
      <c r="AN57" s="161"/>
    </row>
    <row r="58" spans="1:73" s="25" customFormat="1" ht="16.2" thickBot="1">
      <c r="B58" s="269">
        <v>20</v>
      </c>
      <c r="C58" s="146" t="s">
        <v>261</v>
      </c>
      <c r="D58" s="136"/>
      <c r="E58" s="137" t="str">
        <f>IF(D58="","",VLOOKUP(D58,'10. Condition and Temporal'!$B$6:$D$103,3,FALSE))</f>
        <v/>
      </c>
      <c r="F58" s="948"/>
      <c r="G58" s="949"/>
      <c r="H58" s="138"/>
      <c r="I58" s="961"/>
      <c r="J58" s="962"/>
      <c r="K58" s="962"/>
      <c r="L58" s="963" t="str">
        <f t="shared" si="9"/>
        <v/>
      </c>
      <c r="M58" s="955"/>
      <c r="N58" s="956"/>
      <c r="O58" s="75"/>
      <c r="P58" s="14"/>
      <c r="R58" s="733"/>
      <c r="T58" s="834" t="str">
        <f>IF(D58="","",VLOOKUP(D58,'9. All Habitats + Multipliers'!$C$4:$K$102,5,FALSE))</f>
        <v/>
      </c>
      <c r="U58" s="835"/>
      <c r="V58" s="99" t="str">
        <f>IF(T58="","",VLOOKUP(T58,'11. Lists'!$B$47:$D$49,2,FALSE))</f>
        <v/>
      </c>
      <c r="W58" s="98" t="str">
        <f t="shared" si="11"/>
        <v/>
      </c>
      <c r="X58" s="99" t="str">
        <f>IF(W58="","",VLOOKUP(W58,'11. Lists'!$F$47:$G$51,2,FALSE))</f>
        <v/>
      </c>
      <c r="Y58" s="376"/>
      <c r="Z58" s="347"/>
      <c r="AA58" s="515"/>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1" t="str">
        <f>IF(AE58="","",VLOOKUP(AE58,'11. Lists'!$I$47:$K$80,3,FALSE))</f>
        <v/>
      </c>
      <c r="AG58" s="98" t="str">
        <f>IF(D58="","",VLOOKUP(D58,'9. All Habitats + Multipliers'!$C$4:$K$102,7,FALSE))</f>
        <v/>
      </c>
      <c r="AH58" s="99" t="str">
        <f>IF(AG58="","",VLOOKUP(AG58,'11. Lists'!$J$35:$K$38,2,FALSE))</f>
        <v/>
      </c>
      <c r="AI58" s="491" t="str">
        <v>1</v>
      </c>
      <c r="AJ58" s="161"/>
      <c r="AK58" s="161"/>
      <c r="AL58" s="161"/>
      <c r="AM58" s="161"/>
      <c r="AN58" s="161"/>
    </row>
    <row r="59" spans="1:73" s="25" customFormat="1" ht="15" thickBot="1">
      <c r="H59" s="273" t="s">
        <v>236</v>
      </c>
      <c r="I59" s="727">
        <f>SUM(I39:K58)</f>
        <v>0</v>
      </c>
      <c r="J59" s="728"/>
      <c r="K59" s="729"/>
      <c r="L59" s="862">
        <f>SUM(L39:N58)</f>
        <v>0</v>
      </c>
      <c r="M59" s="863"/>
      <c r="N59" s="864"/>
      <c r="R59" s="733"/>
      <c r="AJ59" s="161"/>
      <c r="AK59" s="161"/>
      <c r="AL59" s="161"/>
      <c r="AM59" s="161"/>
      <c r="AN59" s="161"/>
    </row>
    <row r="60" spans="1:73" s="25" customFormat="1">
      <c r="R60" s="733"/>
      <c r="AJ60" s="161"/>
      <c r="AK60" s="161"/>
      <c r="AL60" s="161"/>
      <c r="AM60" s="161"/>
      <c r="AN60" s="161"/>
    </row>
    <row r="61" spans="1:73" s="25" customFormat="1">
      <c r="R61" s="733"/>
      <c r="AJ61" s="161"/>
      <c r="AK61" s="161"/>
      <c r="AL61" s="161"/>
      <c r="AM61" s="161"/>
      <c r="AN61" s="161"/>
      <c r="BA61" s="50" t="s">
        <v>126</v>
      </c>
    </row>
    <row r="62" spans="1:73" s="25" customFormat="1" ht="21">
      <c r="B62" s="57" t="s">
        <v>127</v>
      </c>
      <c r="D62" s="88"/>
      <c r="H62" s="26"/>
      <c r="R62" s="733"/>
      <c r="AJ62" s="161"/>
      <c r="AK62" s="161"/>
      <c r="AL62" s="161"/>
      <c r="AM62" s="161"/>
      <c r="AN62" s="161"/>
      <c r="BA62" s="50" t="s">
        <v>128</v>
      </c>
    </row>
    <row r="63" spans="1:73" s="25" customFormat="1" ht="15" thickBot="1">
      <c r="A63" s="904"/>
      <c r="R63" s="733"/>
      <c r="AJ63" s="161"/>
      <c r="AK63" s="161"/>
      <c r="AL63" s="161"/>
      <c r="AM63" s="161"/>
      <c r="AN63" s="161"/>
      <c r="BA63" s="964" t="s">
        <v>141</v>
      </c>
    </row>
    <row r="64" spans="1:73" s="25" customFormat="1" ht="16.2" customHeight="1" thickBot="1">
      <c r="A64" s="904"/>
      <c r="B64" s="825" t="s">
        <v>129</v>
      </c>
      <c r="C64" s="676" t="s">
        <v>130</v>
      </c>
      <c r="D64" s="678"/>
      <c r="E64" s="700" t="s">
        <v>264</v>
      </c>
      <c r="F64" s="710"/>
      <c r="G64" s="702"/>
      <c r="H64" s="719" t="s">
        <v>132</v>
      </c>
      <c r="I64" s="719" t="s">
        <v>265</v>
      </c>
      <c r="J64" s="842" t="s">
        <v>134</v>
      </c>
      <c r="K64" s="842"/>
      <c r="L64" s="676" t="s">
        <v>135</v>
      </c>
      <c r="M64" s="677" t="s">
        <v>136</v>
      </c>
      <c r="N64" s="678"/>
      <c r="O64" s="811" t="s">
        <v>77</v>
      </c>
      <c r="P64" s="679"/>
      <c r="R64" s="733"/>
      <c r="T64" s="839" t="s">
        <v>137</v>
      </c>
      <c r="U64" s="840"/>
      <c r="V64" s="840"/>
      <c r="W64" s="840"/>
      <c r="X64" s="840"/>
      <c r="Y64" s="840"/>
      <c r="Z64" s="840"/>
      <c r="AA64" s="840"/>
      <c r="AB64" s="840"/>
      <c r="AC64" s="840"/>
      <c r="AD64" s="841"/>
      <c r="AE64" s="719" t="s">
        <v>138</v>
      </c>
      <c r="AF64" s="839" t="s">
        <v>139</v>
      </c>
      <c r="AG64" s="840"/>
      <c r="AH64" s="840"/>
      <c r="AI64" s="840"/>
      <c r="AJ64" s="840"/>
      <c r="AK64" s="840"/>
      <c r="AL64" s="840"/>
      <c r="AM64" s="840"/>
      <c r="AN64" s="840"/>
      <c r="AO64" s="840"/>
      <c r="AP64" s="841"/>
      <c r="AQ64" s="721" t="s">
        <v>140</v>
      </c>
      <c r="AR64" s="839" t="s">
        <v>139</v>
      </c>
      <c r="AS64" s="840"/>
      <c r="AT64" s="840"/>
      <c r="AU64" s="840"/>
      <c r="AV64" s="841"/>
      <c r="BA64" s="964"/>
      <c r="BB64" s="554">
        <f>COUNTIF(BB66:BB85,"?*")</f>
        <v>0</v>
      </c>
      <c r="BC64" s="189">
        <f t="shared" ref="BC64:BU64" si="12">COUNTIF(BC66:BC85,"?*")</f>
        <v>0</v>
      </c>
      <c r="BD64" s="189">
        <f t="shared" si="12"/>
        <v>0</v>
      </c>
      <c r="BE64" s="189">
        <f t="shared" si="12"/>
        <v>0</v>
      </c>
      <c r="BF64" s="189">
        <f t="shared" si="12"/>
        <v>0</v>
      </c>
      <c r="BG64" s="189">
        <f t="shared" si="12"/>
        <v>0</v>
      </c>
      <c r="BH64" s="189">
        <f t="shared" si="12"/>
        <v>0</v>
      </c>
      <c r="BI64" s="189">
        <f t="shared" si="12"/>
        <v>0</v>
      </c>
      <c r="BJ64" s="189">
        <f t="shared" si="12"/>
        <v>0</v>
      </c>
      <c r="BK64" s="189">
        <f t="shared" si="12"/>
        <v>0</v>
      </c>
      <c r="BL64" s="189">
        <f t="shared" si="12"/>
        <v>0</v>
      </c>
      <c r="BM64" s="189">
        <f t="shared" si="12"/>
        <v>0</v>
      </c>
      <c r="BN64" s="189">
        <f t="shared" si="12"/>
        <v>0</v>
      </c>
      <c r="BO64" s="189">
        <f t="shared" si="12"/>
        <v>0</v>
      </c>
      <c r="BP64" s="189">
        <f t="shared" si="12"/>
        <v>0</v>
      </c>
      <c r="BQ64" s="189">
        <f t="shared" si="12"/>
        <v>0</v>
      </c>
      <c r="BR64" s="189">
        <f t="shared" si="12"/>
        <v>0</v>
      </c>
      <c r="BS64" s="189">
        <f t="shared" si="12"/>
        <v>0</v>
      </c>
      <c r="BT64" s="189">
        <f t="shared" si="12"/>
        <v>0</v>
      </c>
      <c r="BU64" s="189">
        <f t="shared" si="12"/>
        <v>0</v>
      </c>
    </row>
    <row r="65" spans="1:76" s="25" customFormat="1" ht="45.6" customHeight="1" thickBot="1">
      <c r="A65" s="904"/>
      <c r="B65" s="957"/>
      <c r="C65" s="433" t="s">
        <v>142</v>
      </c>
      <c r="D65" s="402" t="s">
        <v>143</v>
      </c>
      <c r="E65" s="400" t="s">
        <v>144</v>
      </c>
      <c r="F65" s="958" t="s">
        <v>145</v>
      </c>
      <c r="G65" s="959"/>
      <c r="H65" s="942"/>
      <c r="I65" s="942"/>
      <c r="J65" s="943"/>
      <c r="K65" s="943"/>
      <c r="L65" s="950"/>
      <c r="M65" s="951"/>
      <c r="N65" s="952"/>
      <c r="O65" s="403" t="s">
        <v>92</v>
      </c>
      <c r="P65" s="402" t="s">
        <v>93</v>
      </c>
      <c r="R65" s="733"/>
      <c r="T65" s="180" t="s">
        <v>146</v>
      </c>
      <c r="U65" s="112" t="s">
        <v>147</v>
      </c>
      <c r="V65" s="113" t="s">
        <v>148</v>
      </c>
      <c r="W65" s="372" t="s">
        <v>149</v>
      </c>
      <c r="X65" s="361" t="s">
        <v>150</v>
      </c>
      <c r="Y65" s="370"/>
      <c r="Z65" s="370"/>
      <c r="AA65" s="370"/>
      <c r="AB65" s="362" t="s">
        <v>151</v>
      </c>
      <c r="AC65" s="371" t="s">
        <v>152</v>
      </c>
      <c r="AD65" s="113" t="s">
        <v>153</v>
      </c>
      <c r="AE65" s="968"/>
      <c r="AF65" s="337" t="s">
        <v>146</v>
      </c>
      <c r="AG65" s="355" t="s">
        <v>94</v>
      </c>
      <c r="AH65" s="354" t="s">
        <v>95</v>
      </c>
      <c r="AI65" s="355" t="s">
        <v>96</v>
      </c>
      <c r="AJ65" s="475" t="s">
        <v>95</v>
      </c>
      <c r="AK65" s="476"/>
      <c r="AL65" s="476"/>
      <c r="AM65" s="476"/>
      <c r="AN65" s="475" t="s">
        <v>80</v>
      </c>
      <c r="AO65" s="357" t="s">
        <v>80</v>
      </c>
      <c r="AP65" s="354" t="s">
        <v>97</v>
      </c>
      <c r="AQ65" s="967"/>
      <c r="AR65" s="354" t="s">
        <v>154</v>
      </c>
      <c r="AS65" s="355" t="s">
        <v>155</v>
      </c>
      <c r="AT65" s="354" t="s">
        <v>156</v>
      </c>
      <c r="AU65" s="356" t="s">
        <v>157</v>
      </c>
      <c r="AV65" s="354" t="s">
        <v>158</v>
      </c>
      <c r="AW65" s="185" t="s">
        <v>159</v>
      </c>
      <c r="AX65" s="488" t="s">
        <v>160</v>
      </c>
      <c r="AY65" s="489" t="s">
        <v>266</v>
      </c>
      <c r="BA65" s="83" t="s">
        <v>162</v>
      </c>
      <c r="BB65" s="173">
        <v>1</v>
      </c>
      <c r="BC65" s="173">
        <v>2</v>
      </c>
      <c r="BD65" s="173">
        <v>3</v>
      </c>
      <c r="BE65" s="173">
        <v>4</v>
      </c>
      <c r="BF65" s="173">
        <v>5</v>
      </c>
      <c r="BG65" s="173">
        <v>6</v>
      </c>
      <c r="BH65" s="173">
        <v>7</v>
      </c>
      <c r="BI65" s="173">
        <v>8</v>
      </c>
      <c r="BJ65" s="173">
        <v>9</v>
      </c>
      <c r="BK65" s="173">
        <v>10</v>
      </c>
      <c r="BL65" s="173">
        <v>11</v>
      </c>
      <c r="BM65" s="173">
        <v>12</v>
      </c>
      <c r="BN65" s="173">
        <v>13</v>
      </c>
      <c r="BO65" s="173">
        <v>14</v>
      </c>
      <c r="BP65" s="173">
        <v>15</v>
      </c>
      <c r="BQ65" s="173">
        <v>16</v>
      </c>
      <c r="BR65" s="173">
        <v>17</v>
      </c>
      <c r="BS65" s="173">
        <v>18</v>
      </c>
      <c r="BT65" s="173">
        <v>19</v>
      </c>
      <c r="BU65" s="173">
        <v>20</v>
      </c>
      <c r="BV65" s="187" t="s">
        <v>163</v>
      </c>
      <c r="BW65" s="173" t="s">
        <v>164</v>
      </c>
      <c r="BX65" s="173" t="s">
        <v>165</v>
      </c>
    </row>
    <row r="66" spans="1:76" s="25" customFormat="1" ht="15.6">
      <c r="B66" s="274">
        <v>1</v>
      </c>
      <c r="C66" s="423" t="str">
        <f t="shared" ref="C66:C85" si="13">IF(D66="","",C11)</f>
        <v/>
      </c>
      <c r="D66" s="424" t="str">
        <f>IF(OR(K11="", K11=0),"",D11)</f>
        <v/>
      </c>
      <c r="E66" s="425" t="str">
        <f t="shared" ref="E66:E85" si="14">IF(AX66="","",AX66)</f>
        <v/>
      </c>
      <c r="F66" s="874"/>
      <c r="G66" s="875"/>
      <c r="H66" s="426" t="str">
        <f t="shared" ref="H66:H85" si="15">IF(D66="","",AB66)</f>
        <v/>
      </c>
      <c r="I66" s="431" t="str">
        <f>IF(OR(K11="",K11=0),"",K11)</f>
        <v/>
      </c>
      <c r="J66" s="946" t="str">
        <f>IF(F66="","",VLOOKUP(F66,'10. Condition and Temporal'!$B$6:$F$103,5,FALSE))</f>
        <v/>
      </c>
      <c r="K66" s="947"/>
      <c r="L66" s="299" t="str">
        <f>IFERROR(IF(D66="","",IF(AX66="Distinctiveness",(((((I66*AH66*AJ66*AY66)-(I66*V66*X66))*(AV66*AT66))+(I66*V66*X66))*AP66)/1000,((((I66*AH66*AJ66*AY66)-(I66*V66*X66*AJ11))*(AV66*AR66))+(I66*V66*X66*AJ11))*AP66/1000)),"This intervention is not permitted within the SSM ▲")</f>
        <v/>
      </c>
      <c r="M66" s="895" t="str">
        <f>IFERROR(IF(F66="","",L66-AD66), "Error ▲")</f>
        <v/>
      </c>
      <c r="N66" s="896"/>
      <c r="O66" s="221"/>
      <c r="P66" s="145"/>
      <c r="R66" s="733"/>
      <c r="T66" s="181" t="str">
        <f t="shared" ref="T66:T85" si="16">IF(D66="","",K11)</f>
        <v/>
      </c>
      <c r="U66" s="115" t="str">
        <f>IF($D66="","",T11)</f>
        <v/>
      </c>
      <c r="V66" s="116" t="str">
        <f t="shared" ref="V66:X85" si="17">IF($D66="","",V11)</f>
        <v/>
      </c>
      <c r="W66" s="114" t="str">
        <f t="shared" si="17"/>
        <v/>
      </c>
      <c r="X66" s="93" t="str">
        <f t="shared" si="17"/>
        <v/>
      </c>
      <c r="Y66" s="347"/>
      <c r="Z66" s="347"/>
      <c r="AA66" s="347"/>
      <c r="AB66" s="94" t="str">
        <f t="shared" ref="AB66:AB85" si="18">IF($D66="","",AB11)</f>
        <v/>
      </c>
      <c r="AC66" s="118" t="str">
        <f t="shared" ref="AC66:AC85" si="19">IF($D66="","",AD11)</f>
        <v/>
      </c>
      <c r="AD66" s="116" t="str">
        <f>IF(AC66="","",((T66*V66*X66)*AC66*AJ11)/1000)</f>
        <v/>
      </c>
      <c r="AE66" s="183" t="str">
        <f>IF(AD66="","",IF(AH66&lt;V66,"Not Acceptable","Acceptable"))</f>
        <v/>
      </c>
      <c r="AF66" s="114" t="str">
        <f t="shared" ref="AF66:AF85" si="20">IF(D66="","",I66)</f>
        <v/>
      </c>
      <c r="AG66" s="115" t="str">
        <f>IF(D66="","",VLOOKUP(F66,'9. All Habitats + Multipliers'!$C$4:$K$102,5,FALSE))</f>
        <v/>
      </c>
      <c r="AH66" s="116" t="str">
        <f>IF(AG66="","",VLOOKUP(AG66,'11. Lists'!$B$47:$D$49,2,FALSE))</f>
        <v/>
      </c>
      <c r="AI66" s="115" t="str">
        <f t="shared" ref="AI66:AI85" si="21">IF(D66="","",J66)</f>
        <v/>
      </c>
      <c r="AJ66" s="485" t="str">
        <f>IF(AI66="","",VLOOKUP(AI66,'11. Lists'!$F$47:$G$51,2,FALSE))</f>
        <v/>
      </c>
      <c r="AK66" s="486"/>
      <c r="AL66" s="486"/>
      <c r="AM66" s="486"/>
      <c r="AN66" s="485" t="str">
        <f t="shared" ref="AN66:AN85" si="22">IF(H66="","",H66)</f>
        <v/>
      </c>
      <c r="AO66" s="117" t="str">
        <f>IF(AN66="","",VLOOKUP(AN66,'11. Lists'!$F$36:$H$38,2,FALSE))</f>
        <v/>
      </c>
      <c r="AP66" s="116" t="str">
        <f>IF(AN66="","",VLOOKUP(AN66,'11. Lists'!$F$36:$H$38,3,FALSE))</f>
        <v/>
      </c>
      <c r="AQ66" s="115" t="str">
        <f>IF(D66="","",IF(AX66="Distinctiveness","N/A",VLOOKUP(F66,'10. Condition and Temporal'!$B$6:$L$103,11,FALSE)))</f>
        <v/>
      </c>
      <c r="AR66" s="119" t="str">
        <f>IF(AQ66="","",IF(AQ66="N/A","1",VLOOKUP(AQ66,'11. Lists'!$I$47:$K$80,3,FALSE)))</f>
        <v/>
      </c>
      <c r="AS66" s="135" t="str">
        <f>IF(D66="","",IF(AX66="Condition","N/A",VLOOKUP(F66,'10. Condition and Temporal'!$B$6:$M$106,12,FALSE)))</f>
        <v/>
      </c>
      <c r="AT66" s="119" t="str">
        <f>IF(AS66="","",IF(AS66="N/A","1",VLOOKUP(AS66,'11. Lists'!$I$47:$K$80,3,FALSE)))</f>
        <v/>
      </c>
      <c r="AU66" s="118" t="str">
        <f>IF(D66="","",VLOOKUP(F66,'9. All Habitats + Multipliers'!$C$4:$K$102,8,FALSE))</f>
        <v/>
      </c>
      <c r="AV66" s="116" t="str">
        <f>IF(AU66="","",VLOOKUP(AU66,'11. Lists'!$J$35:$K$38,2,FALSE))</f>
        <v/>
      </c>
      <c r="AW66" s="115" t="str">
        <f>IF(D66="","",VLOOKUP(D66,'10. Condition and Temporal'!$B$6:$M$103,4,FALSE))</f>
        <v/>
      </c>
      <c r="AX66" s="467" t="str">
        <f t="shared" ref="AX66:AX85" si="23">IF(F66="","",IF(D66=F66,"Condition","Distinctiveness"))</f>
        <v/>
      </c>
      <c r="AY66" s="490" t="str" cm="1">
        <f t="array" ref="AY66:AZ85">IF($F$66:$G$85="Culvert","0.68","1")</f>
        <v>1</v>
      </c>
      <c r="AZ66" s="487"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8" t="str">
        <f>IF(BX66=0,"",CONCATENATE(BW66,"66:",BW66,BX66+65))</f>
        <v/>
      </c>
      <c r="BW66" s="95" t="s">
        <v>166</v>
      </c>
      <c r="BX66" s="95">
        <f>BB64</f>
        <v>0</v>
      </c>
    </row>
    <row r="67" spans="1:76" s="25" customFormat="1" ht="15.6">
      <c r="B67" s="268">
        <v>2</v>
      </c>
      <c r="C67" s="120" t="str">
        <f t="shared" si="13"/>
        <v/>
      </c>
      <c r="D67" s="212" t="str">
        <f t="shared" ref="D67:D85" si="44">IF(OR(K12="", K12=0),"",D12)</f>
        <v/>
      </c>
      <c r="E67" s="170" t="str">
        <f t="shared" si="14"/>
        <v/>
      </c>
      <c r="F67" s="818"/>
      <c r="G67" s="819"/>
      <c r="H67" s="167" t="str">
        <f t="shared" si="15"/>
        <v/>
      </c>
      <c r="I67" s="321" t="str">
        <f t="shared" ref="I67:I85" si="45">IF(OR(K12="",K12=0),"",K12)</f>
        <v/>
      </c>
      <c r="J67" s="944" t="str">
        <f>IF(F67="","",VLOOKUP(F67,'10. Condition and Temporal'!$B$6:$F$103,5,FALSE))</f>
        <v/>
      </c>
      <c r="K67" s="945"/>
      <c r="L67" s="298" t="str">
        <f t="shared" ref="L67:L85" si="46">IFERROR(IF(D67="","",IF(AX67="Distinctiveness",(((((I67*AH67*AJ67*AY67)-(I67*V67*X67))*(AV67*AT67))+(I67*V67*X67))*AP67)/1000,((((I67*AH67*AJ67*AY67)-(I67*V67*X67*AJ12))*(AV67*AR67))+(I67*V67*X67*AJ12))*AP67/1000)),"This intervention is not permitted within the SSM ▲")</f>
        <v/>
      </c>
      <c r="M67" s="940" t="str">
        <f t="shared" ref="M67:M85" si="47">IFERROR(IF(F67="","",L67-AD67), "Error ▲")</f>
        <v/>
      </c>
      <c r="N67" s="941"/>
      <c r="O67" s="74"/>
      <c r="P67" s="12"/>
      <c r="R67" s="733"/>
      <c r="T67" s="181" t="str">
        <f t="shared" si="16"/>
        <v/>
      </c>
      <c r="U67" s="115" t="str">
        <f t="shared" ref="U67:U85" si="48">IF($D67="","",T12)</f>
        <v/>
      </c>
      <c r="V67" s="116" t="str">
        <f t="shared" si="17"/>
        <v/>
      </c>
      <c r="W67" s="114" t="str">
        <f t="shared" si="17"/>
        <v/>
      </c>
      <c r="X67" s="93" t="str">
        <f t="shared" si="17"/>
        <v/>
      </c>
      <c r="Y67" s="347"/>
      <c r="Z67" s="347"/>
      <c r="AA67" s="347"/>
      <c r="AB67" s="94" t="str">
        <f t="shared" si="18"/>
        <v/>
      </c>
      <c r="AC67" s="118" t="str">
        <f t="shared" si="19"/>
        <v/>
      </c>
      <c r="AD67" s="116" t="str">
        <f t="shared" ref="AD67:AD85" si="49">IF(AC67="","",((T67*V67*X67)*AC67*AJ12)/1000)</f>
        <v/>
      </c>
      <c r="AE67" s="183" t="str">
        <f t="shared" ref="AE67:AE85" si="50">IF(AD67="","",IF(AH67&lt;V67,"Not Acceptable","Acceptable"))</f>
        <v/>
      </c>
      <c r="AF67" s="114" t="str">
        <f t="shared" si="20"/>
        <v/>
      </c>
      <c r="AG67" s="115" t="str">
        <f>IF(D67="","",VLOOKUP(F67,'9. All Habitats + Multipliers'!$C$4:$K$102,5,FALSE))</f>
        <v/>
      </c>
      <c r="AH67" s="116" t="str">
        <f>IF(AG67="","",VLOOKUP(AG67,'11. Lists'!$B$47:$D$49,2,FALSE))</f>
        <v/>
      </c>
      <c r="AI67" s="115" t="str">
        <f t="shared" si="21"/>
        <v/>
      </c>
      <c r="AJ67" s="485" t="str">
        <f>IF(AI67="","",VLOOKUP(AI67,'11. Lists'!$F$47:$G$51,2,FALSE))</f>
        <v/>
      </c>
      <c r="AK67" s="486"/>
      <c r="AL67" s="486"/>
      <c r="AM67" s="486"/>
      <c r="AN67" s="485" t="str">
        <f t="shared" si="22"/>
        <v/>
      </c>
      <c r="AO67" s="117" t="str">
        <f>IF(AN67="","",VLOOKUP(AN67,'11. Lists'!$F$36:$H$38,2,FALSE))</f>
        <v/>
      </c>
      <c r="AP67" s="116" t="str">
        <f>IF(AN67="","",VLOOKUP(AN67,'11. Lists'!$F$36:$H$38,3,FALSE))</f>
        <v/>
      </c>
      <c r="AQ67" s="115" t="str">
        <f>IF(D67="","",IF(AX67="Distinctiveness","N/A",VLOOKUP(F67,'10. Condition and Temporal'!$B$6:$L$103,11,FALSE)))</f>
        <v/>
      </c>
      <c r="AR67" s="119" t="str">
        <f>IF(AQ67="","",IF(AQ67="N/A","1",VLOOKUP(AQ67,'11. Lists'!$I$47:$K$80,3,FALSE)))</f>
        <v/>
      </c>
      <c r="AS67" s="135" t="str">
        <f>IF(D67="","",IF(AX67="Condition","N/A",VLOOKUP(F67,'10. Condition and Temporal'!$B$6:$M$106,12,FALSE)))</f>
        <v/>
      </c>
      <c r="AT67" s="119" t="str">
        <f>IF(AS67="","",IF(AS67="N/A","1",VLOOKUP(AS67,'11. Lists'!$I$47:$K$80,3,FALSE)))</f>
        <v/>
      </c>
      <c r="AU67" s="118" t="str">
        <f>IF(D67="","",VLOOKUP(F67,'9. All Habitats + Multipliers'!$C$4:$K$102,8,FALSE))</f>
        <v/>
      </c>
      <c r="AV67" s="116" t="str">
        <f>IF(AU67="","",VLOOKUP(AU67,'11. Lists'!$J$35:$K$38,2,FALSE))</f>
        <v/>
      </c>
      <c r="AW67" s="115" t="str">
        <f>IF(D67="","",VLOOKUP(D67,'10. Condition and Temporal'!$B$6:$M$103,4,FALSE))</f>
        <v/>
      </c>
      <c r="AX67" s="467" t="str">
        <f t="shared" si="23"/>
        <v/>
      </c>
      <c r="AY67" s="490" t="str">
        <v>1</v>
      </c>
      <c r="AZ67" s="487"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8" t="str">
        <f t="shared" ref="BV67:BV85" si="51">IF(BX67=0,"",CONCATENATE(BW67,"66:",BW67,BX67+65))</f>
        <v/>
      </c>
      <c r="BW67" s="95" t="s">
        <v>167</v>
      </c>
      <c r="BX67" s="95">
        <f>BC64</f>
        <v>0</v>
      </c>
    </row>
    <row r="68" spans="1:76" s="25" customFormat="1" ht="15.6">
      <c r="B68" s="268">
        <v>3</v>
      </c>
      <c r="C68" s="120" t="str">
        <f t="shared" si="13"/>
        <v/>
      </c>
      <c r="D68" s="212" t="str">
        <f t="shared" si="44"/>
        <v/>
      </c>
      <c r="E68" s="170" t="str">
        <f t="shared" si="14"/>
        <v/>
      </c>
      <c r="F68" s="818"/>
      <c r="G68" s="819"/>
      <c r="H68" s="167" t="str">
        <f t="shared" si="15"/>
        <v/>
      </c>
      <c r="I68" s="321" t="str">
        <f t="shared" si="45"/>
        <v/>
      </c>
      <c r="J68" s="944" t="str">
        <f>IF(F68="","",VLOOKUP(F68,'10. Condition and Temporal'!$B$6:$F$103,5,FALSE))</f>
        <v/>
      </c>
      <c r="K68" s="945"/>
      <c r="L68" s="298" t="str">
        <f t="shared" si="46"/>
        <v/>
      </c>
      <c r="M68" s="940" t="str">
        <f t="shared" si="47"/>
        <v/>
      </c>
      <c r="N68" s="941"/>
      <c r="O68" s="74"/>
      <c r="P68" s="12"/>
      <c r="R68" s="733"/>
      <c r="T68" s="181" t="str">
        <f t="shared" si="16"/>
        <v/>
      </c>
      <c r="U68" s="115" t="str">
        <f t="shared" si="48"/>
        <v/>
      </c>
      <c r="V68" s="116" t="str">
        <f t="shared" si="17"/>
        <v/>
      </c>
      <c r="W68" s="114" t="str">
        <f t="shared" si="17"/>
        <v/>
      </c>
      <c r="X68" s="93" t="str">
        <f t="shared" si="17"/>
        <v/>
      </c>
      <c r="Y68" s="347"/>
      <c r="Z68" s="347"/>
      <c r="AA68" s="347"/>
      <c r="AB68" s="94" t="str">
        <f t="shared" si="18"/>
        <v/>
      </c>
      <c r="AC68" s="118" t="str">
        <f t="shared" si="19"/>
        <v/>
      </c>
      <c r="AD68" s="116" t="str">
        <f t="shared" si="49"/>
        <v/>
      </c>
      <c r="AE68" s="183" t="str">
        <f t="shared" si="50"/>
        <v/>
      </c>
      <c r="AF68" s="114" t="str">
        <f t="shared" si="20"/>
        <v/>
      </c>
      <c r="AG68" s="115" t="str">
        <f>IF(D68="","",VLOOKUP(F68,'9. All Habitats + Multipliers'!$C$4:$K$102,5,FALSE))</f>
        <v/>
      </c>
      <c r="AH68" s="116" t="str">
        <f>IF(AG68="","",VLOOKUP(AG68,'11. Lists'!$B$47:$D$49,2,FALSE))</f>
        <v/>
      </c>
      <c r="AI68" s="115" t="str">
        <f t="shared" si="21"/>
        <v/>
      </c>
      <c r="AJ68" s="485" t="str">
        <f>IF(AI68="","",VLOOKUP(AI68,'11. Lists'!$F$47:$G$51,2,FALSE))</f>
        <v/>
      </c>
      <c r="AK68" s="486"/>
      <c r="AL68" s="486"/>
      <c r="AM68" s="486"/>
      <c r="AN68" s="485" t="str">
        <f t="shared" si="22"/>
        <v/>
      </c>
      <c r="AO68" s="117" t="str">
        <f>IF(AN68="","",VLOOKUP(AN68,'11. Lists'!$F$36:$H$38,2,FALSE))</f>
        <v/>
      </c>
      <c r="AP68" s="116" t="str">
        <f>IF(AN68="","",VLOOKUP(AN68,'11. Lists'!$F$36:$H$38,3,FALSE))</f>
        <v/>
      </c>
      <c r="AQ68" s="115" t="str">
        <f>IF(D68="","",IF(AX68="Distinctiveness","N/A",VLOOKUP(F68,'10. Condition and Temporal'!$B$6:$L$103,11,FALSE)))</f>
        <v/>
      </c>
      <c r="AR68" s="119" t="str">
        <f>IF(AQ68="","",IF(AQ68="N/A","1",VLOOKUP(AQ68,'11. Lists'!$I$47:$K$80,3,FALSE)))</f>
        <v/>
      </c>
      <c r="AS68" s="135" t="str">
        <f>IF(D68="","",IF(AX68="Condition","N/A",VLOOKUP(F68,'10. Condition and Temporal'!$B$6:$M$106,12,FALSE)))</f>
        <v/>
      </c>
      <c r="AT68" s="119" t="str">
        <f>IF(AS68="","",IF(AS68="N/A","1",VLOOKUP(AS68,'11. Lists'!$I$47:$K$80,3,FALSE)))</f>
        <v/>
      </c>
      <c r="AU68" s="118" t="str">
        <f>IF(D68="","",VLOOKUP(F68,'9. All Habitats + Multipliers'!$C$4:$K$102,8,FALSE))</f>
        <v/>
      </c>
      <c r="AV68" s="116" t="str">
        <f>IF(AU68="","",VLOOKUP(AU68,'11. Lists'!$J$35:$K$38,2,FALSE))</f>
        <v/>
      </c>
      <c r="AW68" s="115" t="str">
        <f>IF(D68="","",VLOOKUP(D68,'10. Condition and Temporal'!$B$6:$M$103,4,FALSE))</f>
        <v/>
      </c>
      <c r="AX68" s="467" t="str">
        <f t="shared" si="23"/>
        <v/>
      </c>
      <c r="AY68" s="490" t="str">
        <v>1</v>
      </c>
      <c r="AZ68" s="487"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8" t="str">
        <f t="shared" si="51"/>
        <v/>
      </c>
      <c r="BW68" s="95" t="s">
        <v>168</v>
      </c>
      <c r="BX68" s="95">
        <f>BD64</f>
        <v>0</v>
      </c>
    </row>
    <row r="69" spans="1:76" s="25" customFormat="1" ht="15.6">
      <c r="B69" s="268">
        <v>4</v>
      </c>
      <c r="C69" s="120" t="str">
        <f t="shared" si="13"/>
        <v/>
      </c>
      <c r="D69" s="212" t="str">
        <f t="shared" si="44"/>
        <v/>
      </c>
      <c r="E69" s="170" t="str">
        <f t="shared" si="14"/>
        <v/>
      </c>
      <c r="F69" s="818"/>
      <c r="G69" s="819"/>
      <c r="H69" s="167" t="str">
        <f t="shared" si="15"/>
        <v/>
      </c>
      <c r="I69" s="321" t="str">
        <f t="shared" si="45"/>
        <v/>
      </c>
      <c r="J69" s="944" t="str">
        <f>IF(F69="","",VLOOKUP(F69,'10. Condition and Temporal'!$B$6:$F$103,5,FALSE))</f>
        <v/>
      </c>
      <c r="K69" s="945"/>
      <c r="L69" s="298" t="str">
        <f t="shared" si="46"/>
        <v/>
      </c>
      <c r="M69" s="940" t="str">
        <f t="shared" si="47"/>
        <v/>
      </c>
      <c r="N69" s="941"/>
      <c r="O69" s="74"/>
      <c r="P69" s="12"/>
      <c r="R69" s="733"/>
      <c r="T69" s="181" t="str">
        <f t="shared" si="16"/>
        <v/>
      </c>
      <c r="U69" s="115" t="str">
        <f t="shared" si="48"/>
        <v/>
      </c>
      <c r="V69" s="116" t="str">
        <f t="shared" si="17"/>
        <v/>
      </c>
      <c r="W69" s="114" t="str">
        <f t="shared" si="17"/>
        <v/>
      </c>
      <c r="X69" s="93" t="str">
        <f t="shared" si="17"/>
        <v/>
      </c>
      <c r="Y69" s="347"/>
      <c r="Z69" s="347"/>
      <c r="AA69" s="347"/>
      <c r="AB69" s="94" t="str">
        <f t="shared" si="18"/>
        <v/>
      </c>
      <c r="AC69" s="118" t="str">
        <f t="shared" si="19"/>
        <v/>
      </c>
      <c r="AD69" s="116" t="str">
        <f t="shared" si="49"/>
        <v/>
      </c>
      <c r="AE69" s="183" t="str">
        <f t="shared" si="50"/>
        <v/>
      </c>
      <c r="AF69" s="114" t="str">
        <f t="shared" si="20"/>
        <v/>
      </c>
      <c r="AG69" s="115" t="str">
        <f>IF(D69="","",VLOOKUP(F69,'9. All Habitats + Multipliers'!$C$4:$K$102,5,FALSE))</f>
        <v/>
      </c>
      <c r="AH69" s="116" t="str">
        <f>IF(AG69="","",VLOOKUP(AG69,'11. Lists'!$B$47:$D$49,2,FALSE))</f>
        <v/>
      </c>
      <c r="AI69" s="115" t="str">
        <f t="shared" si="21"/>
        <v/>
      </c>
      <c r="AJ69" s="485" t="str">
        <f>IF(AI69="","",VLOOKUP(AI69,'11. Lists'!$F$47:$G$51,2,FALSE))</f>
        <v/>
      </c>
      <c r="AK69" s="486"/>
      <c r="AL69" s="486"/>
      <c r="AM69" s="486"/>
      <c r="AN69" s="485" t="str">
        <f t="shared" si="22"/>
        <v/>
      </c>
      <c r="AO69" s="117" t="str">
        <f>IF(AN69="","",VLOOKUP(AN69,'11. Lists'!$F$36:$H$38,2,FALSE))</f>
        <v/>
      </c>
      <c r="AP69" s="116" t="str">
        <f>IF(AN69="","",VLOOKUP(AN69,'11. Lists'!$F$36:$H$38,3,FALSE))</f>
        <v/>
      </c>
      <c r="AQ69" s="115" t="str">
        <f>IF(D69="","",IF(AX69="Distinctiveness","N/A",VLOOKUP(F69,'10. Condition and Temporal'!$B$6:$L$103,11,FALSE)))</f>
        <v/>
      </c>
      <c r="AR69" s="119" t="str">
        <f>IF(AQ69="","",IF(AQ69="N/A","1",VLOOKUP(AQ69,'11. Lists'!$I$47:$K$80,3,FALSE)))</f>
        <v/>
      </c>
      <c r="AS69" s="135" t="str">
        <f>IF(D69="","",IF(AX69="Condition","N/A",VLOOKUP(F69,'10. Condition and Temporal'!$B$6:$M$106,12,FALSE)))</f>
        <v/>
      </c>
      <c r="AT69" s="119" t="str">
        <f>IF(AS69="","",IF(AS69="N/A","1",VLOOKUP(AS69,'11. Lists'!$I$47:$K$80,3,FALSE)))</f>
        <v/>
      </c>
      <c r="AU69" s="118" t="str">
        <f>IF(D69="","",VLOOKUP(F69,'9. All Habitats + Multipliers'!$C$4:$K$102,8,FALSE))</f>
        <v/>
      </c>
      <c r="AV69" s="116" t="str">
        <f>IF(AU69="","",VLOOKUP(AU69,'11. Lists'!$J$35:$K$38,2,FALSE))</f>
        <v/>
      </c>
      <c r="AW69" s="115" t="str">
        <f>IF(D69="","",VLOOKUP(D69,'10. Condition and Temporal'!$B$6:$M$103,4,FALSE))</f>
        <v/>
      </c>
      <c r="AX69" s="467" t="str">
        <f t="shared" si="23"/>
        <v/>
      </c>
      <c r="AY69" s="490" t="str">
        <v>1</v>
      </c>
      <c r="AZ69" s="487"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8" t="str">
        <f t="shared" si="51"/>
        <v/>
      </c>
      <c r="BW69" s="95" t="s">
        <v>169</v>
      </c>
      <c r="BX69" s="95">
        <f>BE64</f>
        <v>0</v>
      </c>
    </row>
    <row r="70" spans="1:76" s="25" customFormat="1" ht="15.75" customHeight="1">
      <c r="B70" s="268">
        <v>5</v>
      </c>
      <c r="C70" s="120" t="str">
        <f t="shared" si="13"/>
        <v/>
      </c>
      <c r="D70" s="212" t="str">
        <f t="shared" si="44"/>
        <v/>
      </c>
      <c r="E70" s="170" t="str">
        <f t="shared" si="14"/>
        <v/>
      </c>
      <c r="F70" s="818"/>
      <c r="G70" s="819"/>
      <c r="H70" s="167" t="str">
        <f t="shared" si="15"/>
        <v/>
      </c>
      <c r="I70" s="321" t="str">
        <f t="shared" si="45"/>
        <v/>
      </c>
      <c r="J70" s="944" t="str">
        <f>IF(F70="","",VLOOKUP(F70,'10. Condition and Temporal'!$B$6:$F$103,5,FALSE))</f>
        <v/>
      </c>
      <c r="K70" s="945"/>
      <c r="L70" s="298" t="str">
        <f t="shared" si="46"/>
        <v/>
      </c>
      <c r="M70" s="940" t="str">
        <f t="shared" si="47"/>
        <v/>
      </c>
      <c r="N70" s="941"/>
      <c r="O70" s="74"/>
      <c r="P70" s="12"/>
      <c r="R70" s="733"/>
      <c r="T70" s="181" t="str">
        <f t="shared" si="16"/>
        <v/>
      </c>
      <c r="U70" s="115" t="str">
        <f t="shared" si="48"/>
        <v/>
      </c>
      <c r="V70" s="116" t="str">
        <f t="shared" si="17"/>
        <v/>
      </c>
      <c r="W70" s="114" t="str">
        <f t="shared" si="17"/>
        <v/>
      </c>
      <c r="X70" s="93" t="str">
        <f t="shared" si="17"/>
        <v/>
      </c>
      <c r="Y70" s="347"/>
      <c r="Z70" s="347"/>
      <c r="AA70" s="347"/>
      <c r="AB70" s="94" t="str">
        <f t="shared" si="18"/>
        <v/>
      </c>
      <c r="AC70" s="118" t="str">
        <f t="shared" si="19"/>
        <v/>
      </c>
      <c r="AD70" s="116" t="str">
        <f t="shared" si="49"/>
        <v/>
      </c>
      <c r="AE70" s="183" t="str">
        <f t="shared" si="50"/>
        <v/>
      </c>
      <c r="AF70" s="114" t="str">
        <f t="shared" si="20"/>
        <v/>
      </c>
      <c r="AG70" s="115" t="str">
        <f>IF(D70="","",VLOOKUP(F70,'9. All Habitats + Multipliers'!$C$4:$K$102,5,FALSE))</f>
        <v/>
      </c>
      <c r="AH70" s="116" t="str">
        <f>IF(AG70="","",VLOOKUP(AG70,'11. Lists'!$B$47:$D$49,2,FALSE))</f>
        <v/>
      </c>
      <c r="AI70" s="115" t="str">
        <f t="shared" si="21"/>
        <v/>
      </c>
      <c r="AJ70" s="485" t="str">
        <f>IF(AI70="","",VLOOKUP(AI70,'11. Lists'!$F$47:$G$51,2,FALSE))</f>
        <v/>
      </c>
      <c r="AK70" s="486"/>
      <c r="AL70" s="486"/>
      <c r="AM70" s="486"/>
      <c r="AN70" s="485" t="str">
        <f t="shared" si="22"/>
        <v/>
      </c>
      <c r="AO70" s="117" t="str">
        <f>IF(AN70="","",VLOOKUP(AN70,'11. Lists'!$F$36:$H$38,2,FALSE))</f>
        <v/>
      </c>
      <c r="AP70" s="116" t="str">
        <f>IF(AN70="","",VLOOKUP(AN70,'11. Lists'!$F$36:$H$38,3,FALSE))</f>
        <v/>
      </c>
      <c r="AQ70" s="115" t="str">
        <f>IF(D70="","",IF(AX70="Distinctiveness","N/A",VLOOKUP(F70,'10. Condition and Temporal'!$B$6:$L$103,11,FALSE)))</f>
        <v/>
      </c>
      <c r="AR70" s="119" t="str">
        <f>IF(AQ70="","",IF(AQ70="N/A","1",VLOOKUP(AQ70,'11. Lists'!$I$47:$K$80,3,FALSE)))</f>
        <v/>
      </c>
      <c r="AS70" s="135" t="str">
        <f>IF(D70="","",IF(AX70="Condition","N/A",VLOOKUP(F70,'10. Condition and Temporal'!$B$6:$M$106,12,FALSE)))</f>
        <v/>
      </c>
      <c r="AT70" s="119" t="str">
        <f>IF(AS70="","",IF(AS70="N/A","1",VLOOKUP(AS70,'11. Lists'!$I$47:$K$80,3,FALSE)))</f>
        <v/>
      </c>
      <c r="AU70" s="118" t="str">
        <f>IF(D70="","",VLOOKUP(F70,'9. All Habitats + Multipliers'!$C$4:$K$102,8,FALSE))</f>
        <v/>
      </c>
      <c r="AV70" s="116" t="str">
        <f>IF(AU70="","",VLOOKUP(AU70,'11. Lists'!$J$35:$K$38,2,FALSE))</f>
        <v/>
      </c>
      <c r="AW70" s="115" t="str">
        <f>IF(D70="","",VLOOKUP(D70,'10. Condition and Temporal'!$B$6:$M$103,4,FALSE))</f>
        <v/>
      </c>
      <c r="AX70" s="467" t="str">
        <f t="shared" si="23"/>
        <v/>
      </c>
      <c r="AY70" s="490" t="str">
        <v>1</v>
      </c>
      <c r="AZ70" s="487"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8" t="str">
        <f t="shared" si="51"/>
        <v/>
      </c>
      <c r="BW70" s="95" t="s">
        <v>170</v>
      </c>
      <c r="BX70" s="95">
        <f>BF64</f>
        <v>0</v>
      </c>
    </row>
    <row r="71" spans="1:76" s="25" customFormat="1" ht="15.75" customHeight="1">
      <c r="B71" s="268">
        <v>6</v>
      </c>
      <c r="C71" s="120" t="str">
        <f t="shared" si="13"/>
        <v/>
      </c>
      <c r="D71" s="212" t="str">
        <f t="shared" si="44"/>
        <v/>
      </c>
      <c r="E71" s="170" t="str">
        <f t="shared" si="14"/>
        <v/>
      </c>
      <c r="F71" s="818"/>
      <c r="G71" s="819"/>
      <c r="H71" s="167" t="str">
        <f t="shared" si="15"/>
        <v/>
      </c>
      <c r="I71" s="321" t="str">
        <f t="shared" si="45"/>
        <v/>
      </c>
      <c r="J71" s="944" t="str">
        <f>IF(F71="","",VLOOKUP(F71,'10. Condition and Temporal'!$B$6:$F$103,5,FALSE))</f>
        <v/>
      </c>
      <c r="K71" s="945"/>
      <c r="L71" s="298" t="str">
        <f t="shared" si="46"/>
        <v/>
      </c>
      <c r="M71" s="940" t="str">
        <f t="shared" si="47"/>
        <v/>
      </c>
      <c r="N71" s="941"/>
      <c r="O71" s="74"/>
      <c r="P71" s="12"/>
      <c r="R71" s="733"/>
      <c r="T71" s="181" t="str">
        <f t="shared" si="16"/>
        <v/>
      </c>
      <c r="U71" s="115" t="str">
        <f t="shared" si="48"/>
        <v/>
      </c>
      <c r="V71" s="116" t="str">
        <f t="shared" si="17"/>
        <v/>
      </c>
      <c r="W71" s="114" t="str">
        <f t="shared" si="17"/>
        <v/>
      </c>
      <c r="X71" s="93" t="str">
        <f t="shared" si="17"/>
        <v/>
      </c>
      <c r="Y71" s="347"/>
      <c r="Z71" s="347"/>
      <c r="AA71" s="347"/>
      <c r="AB71" s="94" t="str">
        <f t="shared" si="18"/>
        <v/>
      </c>
      <c r="AC71" s="118" t="str">
        <f t="shared" si="19"/>
        <v/>
      </c>
      <c r="AD71" s="116" t="str">
        <f t="shared" si="49"/>
        <v/>
      </c>
      <c r="AE71" s="183" t="str">
        <f t="shared" si="50"/>
        <v/>
      </c>
      <c r="AF71" s="114" t="str">
        <f t="shared" si="20"/>
        <v/>
      </c>
      <c r="AG71" s="115" t="str">
        <f>IF(D71="","",VLOOKUP(F71,'9. All Habitats + Multipliers'!$C$4:$K$102,5,FALSE))</f>
        <v/>
      </c>
      <c r="AH71" s="116" t="str">
        <f>IF(AG71="","",VLOOKUP(AG71,'11. Lists'!$B$47:$D$49,2,FALSE))</f>
        <v/>
      </c>
      <c r="AI71" s="115" t="str">
        <f t="shared" si="21"/>
        <v/>
      </c>
      <c r="AJ71" s="485" t="str">
        <f>IF(AI71="","",VLOOKUP(AI71,'11. Lists'!$F$47:$G$51,2,FALSE))</f>
        <v/>
      </c>
      <c r="AK71" s="486"/>
      <c r="AL71" s="486"/>
      <c r="AM71" s="486"/>
      <c r="AN71" s="485" t="str">
        <f t="shared" si="22"/>
        <v/>
      </c>
      <c r="AO71" s="117" t="str">
        <f>IF(AN71="","",VLOOKUP(AN71,'11. Lists'!$F$36:$H$38,2,FALSE))</f>
        <v/>
      </c>
      <c r="AP71" s="116" t="str">
        <f>IF(AN71="","",VLOOKUP(AN71,'11. Lists'!$F$36:$H$38,3,FALSE))</f>
        <v/>
      </c>
      <c r="AQ71" s="115" t="str">
        <f>IF(D71="","",IF(AX71="Distinctiveness","N/A",VLOOKUP(F71,'10. Condition and Temporal'!$B$6:$L$103,11,FALSE)))</f>
        <v/>
      </c>
      <c r="AR71" s="119" t="str">
        <f>IF(AQ71="","",IF(AQ71="N/A","1",VLOOKUP(AQ71,'11. Lists'!$I$47:$K$80,3,FALSE)))</f>
        <v/>
      </c>
      <c r="AS71" s="135" t="str">
        <f>IF(D71="","",IF(AX71="Condition","N/A",VLOOKUP(F71,'10. Condition and Temporal'!$B$6:$M$106,12,FALSE)))</f>
        <v/>
      </c>
      <c r="AT71" s="119" t="str">
        <f>IF(AS71="","",IF(AS71="N/A","1",VLOOKUP(AS71,'11. Lists'!$I$47:$K$80,3,FALSE)))</f>
        <v/>
      </c>
      <c r="AU71" s="118" t="str">
        <f>IF(D71="","",VLOOKUP(F71,'9. All Habitats + Multipliers'!$C$4:$K$102,8,FALSE))</f>
        <v/>
      </c>
      <c r="AV71" s="116" t="str">
        <f>IF(AU71="","",VLOOKUP(AU71,'11. Lists'!$J$35:$K$38,2,FALSE))</f>
        <v/>
      </c>
      <c r="AW71" s="115" t="str">
        <f>IF(D71="","",VLOOKUP(D71,'10. Condition and Temporal'!$B$6:$M$103,4,FALSE))</f>
        <v/>
      </c>
      <c r="AX71" s="467" t="str">
        <f t="shared" si="23"/>
        <v/>
      </c>
      <c r="AY71" s="490" t="str">
        <v>1</v>
      </c>
      <c r="AZ71" s="487"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8" t="str">
        <f t="shared" si="51"/>
        <v/>
      </c>
      <c r="BW71" s="95" t="s">
        <v>171</v>
      </c>
      <c r="BX71" s="95">
        <f>BG64</f>
        <v>0</v>
      </c>
    </row>
    <row r="72" spans="1:76" s="25" customFormat="1" ht="15.75" customHeight="1">
      <c r="B72" s="268">
        <v>7</v>
      </c>
      <c r="C72" s="120" t="str">
        <f t="shared" si="13"/>
        <v/>
      </c>
      <c r="D72" s="212" t="str">
        <f t="shared" si="44"/>
        <v/>
      </c>
      <c r="E72" s="170" t="str">
        <f t="shared" si="14"/>
        <v/>
      </c>
      <c r="F72" s="818"/>
      <c r="G72" s="819"/>
      <c r="H72" s="167" t="str">
        <f t="shared" si="15"/>
        <v/>
      </c>
      <c r="I72" s="321" t="str">
        <f t="shared" si="45"/>
        <v/>
      </c>
      <c r="J72" s="944" t="str">
        <f>IF(F72="","",VLOOKUP(F72,'10. Condition and Temporal'!$B$6:$F$103,5,FALSE))</f>
        <v/>
      </c>
      <c r="K72" s="945"/>
      <c r="L72" s="298" t="str">
        <f t="shared" si="46"/>
        <v/>
      </c>
      <c r="M72" s="940" t="str">
        <f t="shared" si="47"/>
        <v/>
      </c>
      <c r="N72" s="941"/>
      <c r="O72" s="74"/>
      <c r="P72" s="12"/>
      <c r="R72" s="733"/>
      <c r="T72" s="181" t="str">
        <f t="shared" si="16"/>
        <v/>
      </c>
      <c r="U72" s="115" t="str">
        <f t="shared" si="48"/>
        <v/>
      </c>
      <c r="V72" s="116" t="str">
        <f t="shared" si="17"/>
        <v/>
      </c>
      <c r="W72" s="114" t="str">
        <f t="shared" si="17"/>
        <v/>
      </c>
      <c r="X72" s="93" t="str">
        <f t="shared" si="17"/>
        <v/>
      </c>
      <c r="Y72" s="347"/>
      <c r="Z72" s="347"/>
      <c r="AA72" s="347"/>
      <c r="AB72" s="94" t="str">
        <f t="shared" si="18"/>
        <v/>
      </c>
      <c r="AC72" s="118" t="str">
        <f t="shared" si="19"/>
        <v/>
      </c>
      <c r="AD72" s="116" t="str">
        <f t="shared" si="49"/>
        <v/>
      </c>
      <c r="AE72" s="183" t="str">
        <f t="shared" si="50"/>
        <v/>
      </c>
      <c r="AF72" s="114" t="str">
        <f t="shared" si="20"/>
        <v/>
      </c>
      <c r="AG72" s="115" t="str">
        <f>IF(D72="","",VLOOKUP(F72,'9. All Habitats + Multipliers'!$C$4:$K$102,5,FALSE))</f>
        <v/>
      </c>
      <c r="AH72" s="116" t="str">
        <f>IF(AG72="","",VLOOKUP(AG72,'11. Lists'!$B$47:$D$49,2,FALSE))</f>
        <v/>
      </c>
      <c r="AI72" s="115" t="str">
        <f t="shared" si="21"/>
        <v/>
      </c>
      <c r="AJ72" s="485" t="str">
        <f>IF(AI72="","",VLOOKUP(AI72,'11. Lists'!$F$47:$G$51,2,FALSE))</f>
        <v/>
      </c>
      <c r="AK72" s="486"/>
      <c r="AL72" s="486"/>
      <c r="AM72" s="486"/>
      <c r="AN72" s="485" t="str">
        <f t="shared" si="22"/>
        <v/>
      </c>
      <c r="AO72" s="117" t="str">
        <f>IF(AN72="","",VLOOKUP(AN72,'11. Lists'!$F$36:$H$38,2,FALSE))</f>
        <v/>
      </c>
      <c r="AP72" s="116" t="str">
        <f>IF(AN72="","",VLOOKUP(AN72,'11. Lists'!$F$36:$H$38,3,FALSE))</f>
        <v/>
      </c>
      <c r="AQ72" s="115" t="str">
        <f>IF(D72="","",IF(AX72="Distinctiveness","N/A",VLOOKUP(F72,'10. Condition and Temporal'!$B$6:$L$103,11,FALSE)))</f>
        <v/>
      </c>
      <c r="AR72" s="119" t="str">
        <f>IF(AQ72="","",IF(AQ72="N/A","1",VLOOKUP(AQ72,'11. Lists'!$I$47:$K$80,3,FALSE)))</f>
        <v/>
      </c>
      <c r="AS72" s="135" t="str">
        <f>IF(D72="","",IF(AX72="Condition","N/A",VLOOKUP(F72,'10. Condition and Temporal'!$B$6:$M$106,12,FALSE)))</f>
        <v/>
      </c>
      <c r="AT72" s="119" t="str">
        <f>IF(AS72="","",IF(AS72="N/A","1",VLOOKUP(AS72,'11. Lists'!$I$47:$K$80,3,FALSE)))</f>
        <v/>
      </c>
      <c r="AU72" s="118" t="str">
        <f>IF(D72="","",VLOOKUP(F72,'9. All Habitats + Multipliers'!$C$4:$K$102,8,FALSE))</f>
        <v/>
      </c>
      <c r="AV72" s="116" t="str">
        <f>IF(AU72="","",VLOOKUP(AU72,'11. Lists'!$J$35:$K$38,2,FALSE))</f>
        <v/>
      </c>
      <c r="AW72" s="115" t="str">
        <f>IF(D72="","",VLOOKUP(D72,'10. Condition and Temporal'!$B$6:$M$103,4,FALSE))</f>
        <v/>
      </c>
      <c r="AX72" s="467" t="str">
        <f t="shared" si="23"/>
        <v/>
      </c>
      <c r="AY72" s="490" t="str">
        <v>1</v>
      </c>
      <c r="AZ72" s="487"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8" t="str">
        <f t="shared" si="51"/>
        <v/>
      </c>
      <c r="BW72" s="95" t="s">
        <v>172</v>
      </c>
      <c r="BX72" s="95">
        <f>BH64</f>
        <v>0</v>
      </c>
    </row>
    <row r="73" spans="1:76" s="25" customFormat="1" ht="15.6">
      <c r="B73" s="268">
        <v>8</v>
      </c>
      <c r="C73" s="120" t="str">
        <f t="shared" si="13"/>
        <v/>
      </c>
      <c r="D73" s="212" t="str">
        <f t="shared" si="44"/>
        <v/>
      </c>
      <c r="E73" s="170" t="str">
        <f t="shared" si="14"/>
        <v/>
      </c>
      <c r="F73" s="818"/>
      <c r="G73" s="819"/>
      <c r="H73" s="167" t="str">
        <f t="shared" si="15"/>
        <v/>
      </c>
      <c r="I73" s="321" t="str">
        <f t="shared" si="45"/>
        <v/>
      </c>
      <c r="J73" s="944" t="str">
        <f>IF(F73="","",VLOOKUP(F73,'10. Condition and Temporal'!$B$6:$F$103,5,FALSE))</f>
        <v/>
      </c>
      <c r="K73" s="945"/>
      <c r="L73" s="298" t="str">
        <f t="shared" si="46"/>
        <v/>
      </c>
      <c r="M73" s="940" t="str">
        <f t="shared" si="47"/>
        <v/>
      </c>
      <c r="N73" s="941"/>
      <c r="O73" s="74"/>
      <c r="P73" s="12"/>
      <c r="R73" s="733"/>
      <c r="T73" s="181" t="str">
        <f t="shared" si="16"/>
        <v/>
      </c>
      <c r="U73" s="115" t="str">
        <f t="shared" si="48"/>
        <v/>
      </c>
      <c r="V73" s="116" t="str">
        <f t="shared" si="17"/>
        <v/>
      </c>
      <c r="W73" s="114" t="str">
        <f t="shared" si="17"/>
        <v/>
      </c>
      <c r="X73" s="93" t="str">
        <f t="shared" si="17"/>
        <v/>
      </c>
      <c r="Y73" s="347"/>
      <c r="Z73" s="347"/>
      <c r="AA73" s="347"/>
      <c r="AB73" s="94" t="str">
        <f t="shared" si="18"/>
        <v/>
      </c>
      <c r="AC73" s="118" t="str">
        <f t="shared" si="19"/>
        <v/>
      </c>
      <c r="AD73" s="116" t="str">
        <f t="shared" si="49"/>
        <v/>
      </c>
      <c r="AE73" s="183" t="str">
        <f t="shared" si="50"/>
        <v/>
      </c>
      <c r="AF73" s="114" t="str">
        <f t="shared" si="20"/>
        <v/>
      </c>
      <c r="AG73" s="115" t="str">
        <f>IF(D73="","",VLOOKUP(F73,'9. All Habitats + Multipliers'!$C$4:$K$102,5,FALSE))</f>
        <v/>
      </c>
      <c r="AH73" s="116" t="str">
        <f>IF(AG73="","",VLOOKUP(AG73,'11. Lists'!$B$47:$D$49,2,FALSE))</f>
        <v/>
      </c>
      <c r="AI73" s="115" t="str">
        <f t="shared" si="21"/>
        <v/>
      </c>
      <c r="AJ73" s="485" t="str">
        <f>IF(AI73="","",VLOOKUP(AI73,'11. Lists'!$F$47:$G$51,2,FALSE))</f>
        <v/>
      </c>
      <c r="AK73" s="486"/>
      <c r="AL73" s="486"/>
      <c r="AM73" s="486"/>
      <c r="AN73" s="485" t="str">
        <f t="shared" si="22"/>
        <v/>
      </c>
      <c r="AO73" s="117" t="str">
        <f>IF(AN73="","",VLOOKUP(AN73,'11. Lists'!$F$36:$H$38,2,FALSE))</f>
        <v/>
      </c>
      <c r="AP73" s="116" t="str">
        <f>IF(AN73="","",VLOOKUP(AN73,'11. Lists'!$F$36:$H$38,3,FALSE))</f>
        <v/>
      </c>
      <c r="AQ73" s="115" t="str">
        <f>IF(D73="","",IF(AX73="Distinctiveness","N/A",VLOOKUP(F73,'10. Condition and Temporal'!$B$6:$L$103,11,FALSE)))</f>
        <v/>
      </c>
      <c r="AR73" s="119" t="str">
        <f>IF(AQ73="","",IF(AQ73="N/A","1",VLOOKUP(AQ73,'11. Lists'!$I$47:$K$80,3,FALSE)))</f>
        <v/>
      </c>
      <c r="AS73" s="135" t="str">
        <f>IF(D73="","",IF(AX73="Condition","N/A",VLOOKUP(F73,'10. Condition and Temporal'!$B$6:$M$106,12,FALSE)))</f>
        <v/>
      </c>
      <c r="AT73" s="119" t="str">
        <f>IF(AS73="","",IF(AS73="N/A","1",VLOOKUP(AS73,'11. Lists'!$I$47:$K$80,3,FALSE)))</f>
        <v/>
      </c>
      <c r="AU73" s="118" t="str">
        <f>IF(D73="","",VLOOKUP(F73,'9. All Habitats + Multipliers'!$C$4:$K$102,8,FALSE))</f>
        <v/>
      </c>
      <c r="AV73" s="116" t="str">
        <f>IF(AU73="","",VLOOKUP(AU73,'11. Lists'!$J$35:$K$38,2,FALSE))</f>
        <v/>
      </c>
      <c r="AW73" s="115" t="str">
        <f>IF(D73="","",VLOOKUP(D73,'10. Condition and Temporal'!$B$6:$M$103,4,FALSE))</f>
        <v/>
      </c>
      <c r="AX73" s="467" t="str">
        <f t="shared" si="23"/>
        <v/>
      </c>
      <c r="AY73" s="490" t="str">
        <v>1</v>
      </c>
      <c r="AZ73" s="487"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8" t="str">
        <f t="shared" si="51"/>
        <v/>
      </c>
      <c r="BW73" s="95" t="s">
        <v>173</v>
      </c>
      <c r="BX73" s="95">
        <f>BI64</f>
        <v>0</v>
      </c>
    </row>
    <row r="74" spans="1:76" s="25" customFormat="1" ht="15.75" customHeight="1">
      <c r="B74" s="268">
        <v>9</v>
      </c>
      <c r="C74" s="120" t="str">
        <f t="shared" si="13"/>
        <v/>
      </c>
      <c r="D74" s="212" t="str">
        <f t="shared" si="44"/>
        <v/>
      </c>
      <c r="E74" s="170" t="str">
        <f t="shared" si="14"/>
        <v/>
      </c>
      <c r="F74" s="818"/>
      <c r="G74" s="819"/>
      <c r="H74" s="167" t="str">
        <f t="shared" si="15"/>
        <v/>
      </c>
      <c r="I74" s="321" t="str">
        <f t="shared" si="45"/>
        <v/>
      </c>
      <c r="J74" s="944" t="str">
        <f>IF(F74="","",VLOOKUP(F74,'10. Condition and Temporal'!$B$6:$F$103,5,FALSE))</f>
        <v/>
      </c>
      <c r="K74" s="945"/>
      <c r="L74" s="298" t="str">
        <f t="shared" si="46"/>
        <v/>
      </c>
      <c r="M74" s="940" t="str">
        <f t="shared" si="47"/>
        <v/>
      </c>
      <c r="N74" s="941"/>
      <c r="O74" s="74"/>
      <c r="P74" s="12"/>
      <c r="R74" s="733"/>
      <c r="T74" s="181" t="str">
        <f t="shared" si="16"/>
        <v/>
      </c>
      <c r="U74" s="115" t="str">
        <f t="shared" si="48"/>
        <v/>
      </c>
      <c r="V74" s="116" t="str">
        <f t="shared" si="17"/>
        <v/>
      </c>
      <c r="W74" s="114" t="str">
        <f t="shared" si="17"/>
        <v/>
      </c>
      <c r="X74" s="93" t="str">
        <f t="shared" si="17"/>
        <v/>
      </c>
      <c r="Y74" s="347"/>
      <c r="Z74" s="347"/>
      <c r="AA74" s="347"/>
      <c r="AB74" s="94" t="str">
        <f t="shared" si="18"/>
        <v/>
      </c>
      <c r="AC74" s="118" t="str">
        <f t="shared" si="19"/>
        <v/>
      </c>
      <c r="AD74" s="116" t="str">
        <f t="shared" si="49"/>
        <v/>
      </c>
      <c r="AE74" s="183" t="str">
        <f t="shared" si="50"/>
        <v/>
      </c>
      <c r="AF74" s="114" t="str">
        <f t="shared" si="20"/>
        <v/>
      </c>
      <c r="AG74" s="115" t="str">
        <f>IF(D74="","",VLOOKUP(F74,'9. All Habitats + Multipliers'!$C$4:$K$102,5,FALSE))</f>
        <v/>
      </c>
      <c r="AH74" s="116" t="str">
        <f>IF(AG74="","",VLOOKUP(AG74,'11. Lists'!$B$47:$D$49,2,FALSE))</f>
        <v/>
      </c>
      <c r="AI74" s="115" t="str">
        <f t="shared" si="21"/>
        <v/>
      </c>
      <c r="AJ74" s="485" t="str">
        <f>IF(AI74="","",VLOOKUP(AI74,'11. Lists'!$F$47:$G$51,2,FALSE))</f>
        <v/>
      </c>
      <c r="AK74" s="486"/>
      <c r="AL74" s="486"/>
      <c r="AM74" s="486"/>
      <c r="AN74" s="485" t="str">
        <f t="shared" si="22"/>
        <v/>
      </c>
      <c r="AO74" s="117" t="str">
        <f>IF(AN74="","",VLOOKUP(AN74,'11. Lists'!$F$36:$H$38,2,FALSE))</f>
        <v/>
      </c>
      <c r="AP74" s="116" t="str">
        <f>IF(AN74="","",VLOOKUP(AN74,'11. Lists'!$F$36:$H$38,3,FALSE))</f>
        <v/>
      </c>
      <c r="AQ74" s="115" t="str">
        <f>IF(D74="","",IF(AX74="Distinctiveness","N/A",VLOOKUP(F74,'10. Condition and Temporal'!$B$6:$L$103,11,FALSE)))</f>
        <v/>
      </c>
      <c r="AR74" s="119" t="str">
        <f>IF(AQ74="","",IF(AQ74="N/A","1",VLOOKUP(AQ74,'11. Lists'!$I$47:$K$80,3,FALSE)))</f>
        <v/>
      </c>
      <c r="AS74" s="135" t="str">
        <f>IF(D74="","",IF(AX74="Condition","N/A",VLOOKUP(F74,'10. Condition and Temporal'!$B$6:$M$106,12,FALSE)))</f>
        <v/>
      </c>
      <c r="AT74" s="119" t="str">
        <f>IF(AS74="","",IF(AS74="N/A","1",VLOOKUP(AS74,'11. Lists'!$I$47:$K$80,3,FALSE)))</f>
        <v/>
      </c>
      <c r="AU74" s="118" t="str">
        <f>IF(D74="","",VLOOKUP(F74,'9. All Habitats + Multipliers'!$C$4:$K$102,8,FALSE))</f>
        <v/>
      </c>
      <c r="AV74" s="116" t="str">
        <f>IF(AU74="","",VLOOKUP(AU74,'11. Lists'!$J$35:$K$38,2,FALSE))</f>
        <v/>
      </c>
      <c r="AW74" s="115" t="str">
        <f>IF(D74="","",VLOOKUP(D74,'10. Condition and Temporal'!$B$6:$M$103,4,FALSE))</f>
        <v/>
      </c>
      <c r="AX74" s="467" t="str">
        <f t="shared" si="23"/>
        <v/>
      </c>
      <c r="AY74" s="490" t="str">
        <v>1</v>
      </c>
      <c r="AZ74" s="487"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8" t="str">
        <f t="shared" si="51"/>
        <v/>
      </c>
      <c r="BW74" s="95" t="s">
        <v>174</v>
      </c>
      <c r="BX74" s="95">
        <f>BJ64</f>
        <v>0</v>
      </c>
    </row>
    <row r="75" spans="1:76" s="25" customFormat="1" ht="15.75" customHeight="1">
      <c r="B75" s="268">
        <v>10</v>
      </c>
      <c r="C75" s="120" t="str">
        <f t="shared" si="13"/>
        <v/>
      </c>
      <c r="D75" s="212" t="str">
        <f t="shared" si="44"/>
        <v/>
      </c>
      <c r="E75" s="170" t="str">
        <f t="shared" si="14"/>
        <v/>
      </c>
      <c r="F75" s="818"/>
      <c r="G75" s="819"/>
      <c r="H75" s="167" t="str">
        <f t="shared" si="15"/>
        <v/>
      </c>
      <c r="I75" s="321" t="str">
        <f t="shared" si="45"/>
        <v/>
      </c>
      <c r="J75" s="944" t="str">
        <f>IF(F75="","",VLOOKUP(F75,'10. Condition and Temporal'!$B$6:$F$103,5,FALSE))</f>
        <v/>
      </c>
      <c r="K75" s="945"/>
      <c r="L75" s="298" t="str">
        <f t="shared" si="46"/>
        <v/>
      </c>
      <c r="M75" s="940" t="str">
        <f t="shared" si="47"/>
        <v/>
      </c>
      <c r="N75" s="941"/>
      <c r="O75" s="74"/>
      <c r="P75" s="12"/>
      <c r="R75" s="733"/>
      <c r="T75" s="181" t="str">
        <f t="shared" si="16"/>
        <v/>
      </c>
      <c r="U75" s="115" t="str">
        <f t="shared" si="48"/>
        <v/>
      </c>
      <c r="V75" s="116" t="str">
        <f t="shared" si="17"/>
        <v/>
      </c>
      <c r="W75" s="114" t="str">
        <f t="shared" si="17"/>
        <v/>
      </c>
      <c r="X75" s="93" t="str">
        <f t="shared" si="17"/>
        <v/>
      </c>
      <c r="Y75" s="347"/>
      <c r="Z75" s="347"/>
      <c r="AA75" s="347"/>
      <c r="AB75" s="94" t="str">
        <f t="shared" si="18"/>
        <v/>
      </c>
      <c r="AC75" s="118" t="str">
        <f t="shared" si="19"/>
        <v/>
      </c>
      <c r="AD75" s="116" t="str">
        <f t="shared" si="49"/>
        <v/>
      </c>
      <c r="AE75" s="183" t="str">
        <f t="shared" si="50"/>
        <v/>
      </c>
      <c r="AF75" s="114" t="str">
        <f t="shared" si="20"/>
        <v/>
      </c>
      <c r="AG75" s="115" t="str">
        <f>IF(D75="","",VLOOKUP(F75,'9. All Habitats + Multipliers'!$C$4:$K$102,5,FALSE))</f>
        <v/>
      </c>
      <c r="AH75" s="116" t="str">
        <f>IF(AG75="","",VLOOKUP(AG75,'11. Lists'!$B$47:$D$49,2,FALSE))</f>
        <v/>
      </c>
      <c r="AI75" s="115" t="str">
        <f t="shared" si="21"/>
        <v/>
      </c>
      <c r="AJ75" s="485" t="str">
        <f>IF(AI75="","",VLOOKUP(AI75,'11. Lists'!$F$47:$G$51,2,FALSE))</f>
        <v/>
      </c>
      <c r="AK75" s="486"/>
      <c r="AL75" s="486"/>
      <c r="AM75" s="486"/>
      <c r="AN75" s="485" t="str">
        <f t="shared" si="22"/>
        <v/>
      </c>
      <c r="AO75" s="117" t="str">
        <f>IF(AN75="","",VLOOKUP(AN75,'11. Lists'!$F$36:$H$38,2,FALSE))</f>
        <v/>
      </c>
      <c r="AP75" s="116" t="str">
        <f>IF(AN75="","",VLOOKUP(AN75,'11. Lists'!$F$36:$H$38,3,FALSE))</f>
        <v/>
      </c>
      <c r="AQ75" s="115" t="str">
        <f>IF(D75="","",IF(AX75="Distinctiveness","N/A",VLOOKUP(F75,'10. Condition and Temporal'!$B$6:$L$103,11,FALSE)))</f>
        <v/>
      </c>
      <c r="AR75" s="119" t="str">
        <f>IF(AQ75="","",IF(AQ75="N/A","1",VLOOKUP(AQ75,'11. Lists'!$I$47:$K$80,3,FALSE)))</f>
        <v/>
      </c>
      <c r="AS75" s="135" t="str">
        <f>IF(D75="","",IF(AX75="Condition","N/A",VLOOKUP(F75,'10. Condition and Temporal'!$B$6:$M$106,12,FALSE)))</f>
        <v/>
      </c>
      <c r="AT75" s="119" t="str">
        <f>IF(AS75="","",IF(AS75="N/A","1",VLOOKUP(AS75,'11. Lists'!$I$47:$K$80,3,FALSE)))</f>
        <v/>
      </c>
      <c r="AU75" s="118" t="str">
        <f>IF(D75="","",VLOOKUP(F75,'9. All Habitats + Multipliers'!$C$4:$K$102,8,FALSE))</f>
        <v/>
      </c>
      <c r="AV75" s="116" t="str">
        <f>IF(AU75="","",VLOOKUP(AU75,'11. Lists'!$J$35:$K$38,2,FALSE))</f>
        <v/>
      </c>
      <c r="AW75" s="115" t="str">
        <f>IF(D75="","",VLOOKUP(D75,'10. Condition and Temporal'!$B$6:$M$103,4,FALSE))</f>
        <v/>
      </c>
      <c r="AX75" s="467" t="str">
        <f t="shared" si="23"/>
        <v/>
      </c>
      <c r="AY75" s="490" t="str">
        <v>1</v>
      </c>
      <c r="AZ75" s="487"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8" t="str">
        <f t="shared" si="51"/>
        <v/>
      </c>
      <c r="BW75" s="95" t="s">
        <v>175</v>
      </c>
      <c r="BX75" s="95">
        <f>BK64</f>
        <v>0</v>
      </c>
    </row>
    <row r="76" spans="1:76" s="25" customFormat="1" ht="15.6">
      <c r="B76" s="268">
        <v>11</v>
      </c>
      <c r="C76" s="120" t="str">
        <f t="shared" si="13"/>
        <v/>
      </c>
      <c r="D76" s="212" t="str">
        <f t="shared" si="44"/>
        <v/>
      </c>
      <c r="E76" s="170" t="str">
        <f t="shared" si="14"/>
        <v/>
      </c>
      <c r="F76" s="818"/>
      <c r="G76" s="819"/>
      <c r="H76" s="167" t="str">
        <f t="shared" si="15"/>
        <v/>
      </c>
      <c r="I76" s="321" t="str">
        <f t="shared" si="45"/>
        <v/>
      </c>
      <c r="J76" s="944" t="str">
        <f>IF(F76="","",VLOOKUP(F76,'10. Condition and Temporal'!$B$6:$F$103,5,FALSE))</f>
        <v/>
      </c>
      <c r="K76" s="945"/>
      <c r="L76" s="298" t="str">
        <f t="shared" si="46"/>
        <v/>
      </c>
      <c r="M76" s="940" t="str">
        <f t="shared" si="47"/>
        <v/>
      </c>
      <c r="N76" s="941"/>
      <c r="O76" s="74"/>
      <c r="P76" s="12"/>
      <c r="R76" s="733"/>
      <c r="T76" s="181" t="str">
        <f t="shared" si="16"/>
        <v/>
      </c>
      <c r="U76" s="115" t="str">
        <f t="shared" si="48"/>
        <v/>
      </c>
      <c r="V76" s="116" t="str">
        <f t="shared" si="17"/>
        <v/>
      </c>
      <c r="W76" s="114" t="str">
        <f t="shared" si="17"/>
        <v/>
      </c>
      <c r="X76" s="93" t="str">
        <f t="shared" si="17"/>
        <v/>
      </c>
      <c r="Y76" s="347"/>
      <c r="Z76" s="347"/>
      <c r="AA76" s="347"/>
      <c r="AB76" s="94" t="str">
        <f t="shared" si="18"/>
        <v/>
      </c>
      <c r="AC76" s="118" t="str">
        <f t="shared" si="19"/>
        <v/>
      </c>
      <c r="AD76" s="116" t="str">
        <f t="shared" si="49"/>
        <v/>
      </c>
      <c r="AE76" s="183" t="str">
        <f t="shared" si="50"/>
        <v/>
      </c>
      <c r="AF76" s="114" t="str">
        <f t="shared" si="20"/>
        <v/>
      </c>
      <c r="AG76" s="115" t="str">
        <f>IF(D76="","",VLOOKUP(F76,'9. All Habitats + Multipliers'!$C$4:$K$102,5,FALSE))</f>
        <v/>
      </c>
      <c r="AH76" s="116" t="str">
        <f>IF(AG76="","",VLOOKUP(AG76,'11. Lists'!$B$47:$D$49,2,FALSE))</f>
        <v/>
      </c>
      <c r="AI76" s="115" t="str">
        <f t="shared" si="21"/>
        <v/>
      </c>
      <c r="AJ76" s="485" t="str">
        <f>IF(AI76="","",VLOOKUP(AI76,'11. Lists'!$F$47:$G$51,2,FALSE))</f>
        <v/>
      </c>
      <c r="AK76" s="486"/>
      <c r="AL76" s="486"/>
      <c r="AM76" s="486"/>
      <c r="AN76" s="485" t="str">
        <f t="shared" si="22"/>
        <v/>
      </c>
      <c r="AO76" s="117" t="str">
        <f>IF(AN76="","",VLOOKUP(AN76,'11. Lists'!$F$36:$H$38,2,FALSE))</f>
        <v/>
      </c>
      <c r="AP76" s="116" t="str">
        <f>IF(AN76="","",VLOOKUP(AN76,'11. Lists'!$F$36:$H$38,3,FALSE))</f>
        <v/>
      </c>
      <c r="AQ76" s="115" t="str">
        <f>IF(D76="","",IF(AX76="Distinctiveness","N/A",VLOOKUP(F76,'10. Condition and Temporal'!$B$6:$L$103,11,FALSE)))</f>
        <v/>
      </c>
      <c r="AR76" s="119" t="str">
        <f>IF(AQ76="","",IF(AQ76="N/A","1",VLOOKUP(AQ76,'11. Lists'!$I$47:$K$80,3,FALSE)))</f>
        <v/>
      </c>
      <c r="AS76" s="135" t="str">
        <f>IF(D76="","",IF(AX76="Condition","N/A",VLOOKUP(F76,'10. Condition and Temporal'!$B$6:$M$106,12,FALSE)))</f>
        <v/>
      </c>
      <c r="AT76" s="119" t="str">
        <f>IF(AS76="","",IF(AS76="N/A","1",VLOOKUP(AS76,'11. Lists'!$I$47:$K$80,3,FALSE)))</f>
        <v/>
      </c>
      <c r="AU76" s="118" t="str">
        <f>IF(D76="","",VLOOKUP(F76,'9. All Habitats + Multipliers'!$C$4:$K$102,8,FALSE))</f>
        <v/>
      </c>
      <c r="AV76" s="116" t="str">
        <f>IF(AU76="","",VLOOKUP(AU76,'11. Lists'!$J$35:$K$38,2,FALSE))</f>
        <v/>
      </c>
      <c r="AW76" s="115" t="str">
        <f>IF(D76="","",VLOOKUP(D76,'10. Condition and Temporal'!$B$6:$M$103,4,FALSE))</f>
        <v/>
      </c>
      <c r="AX76" s="467" t="str">
        <f t="shared" si="23"/>
        <v/>
      </c>
      <c r="AY76" s="490" t="str">
        <v>1</v>
      </c>
      <c r="AZ76" s="487"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8" t="str">
        <f t="shared" si="51"/>
        <v/>
      </c>
      <c r="BW76" s="95" t="s">
        <v>176</v>
      </c>
      <c r="BX76" s="95">
        <f>BL64</f>
        <v>0</v>
      </c>
    </row>
    <row r="77" spans="1:76" s="25" customFormat="1" ht="15.75" customHeight="1">
      <c r="B77" s="268">
        <v>12</v>
      </c>
      <c r="C77" s="120" t="str">
        <f t="shared" si="13"/>
        <v/>
      </c>
      <c r="D77" s="212" t="str">
        <f t="shared" si="44"/>
        <v/>
      </c>
      <c r="E77" s="170" t="str">
        <f t="shared" si="14"/>
        <v/>
      </c>
      <c r="F77" s="818"/>
      <c r="G77" s="819"/>
      <c r="H77" s="167" t="str">
        <f t="shared" si="15"/>
        <v/>
      </c>
      <c r="I77" s="321" t="str">
        <f t="shared" si="45"/>
        <v/>
      </c>
      <c r="J77" s="944" t="str">
        <f>IF(F77="","",VLOOKUP(F77,'10. Condition and Temporal'!$B$6:$F$103,5,FALSE))</f>
        <v/>
      </c>
      <c r="K77" s="945"/>
      <c r="L77" s="298" t="str">
        <f t="shared" si="46"/>
        <v/>
      </c>
      <c r="M77" s="940" t="str">
        <f t="shared" si="47"/>
        <v/>
      </c>
      <c r="N77" s="941"/>
      <c r="O77" s="74"/>
      <c r="P77" s="12"/>
      <c r="R77" s="733"/>
      <c r="T77" s="181" t="str">
        <f t="shared" si="16"/>
        <v/>
      </c>
      <c r="U77" s="115" t="str">
        <f t="shared" si="48"/>
        <v/>
      </c>
      <c r="V77" s="116" t="str">
        <f t="shared" si="17"/>
        <v/>
      </c>
      <c r="W77" s="114" t="str">
        <f t="shared" si="17"/>
        <v/>
      </c>
      <c r="X77" s="93" t="str">
        <f t="shared" si="17"/>
        <v/>
      </c>
      <c r="Y77" s="347"/>
      <c r="Z77" s="347"/>
      <c r="AA77" s="347"/>
      <c r="AB77" s="94" t="str">
        <f t="shared" si="18"/>
        <v/>
      </c>
      <c r="AC77" s="118" t="str">
        <f t="shared" si="19"/>
        <v/>
      </c>
      <c r="AD77" s="116" t="str">
        <f t="shared" si="49"/>
        <v/>
      </c>
      <c r="AE77" s="183" t="str">
        <f t="shared" si="50"/>
        <v/>
      </c>
      <c r="AF77" s="114" t="str">
        <f t="shared" si="20"/>
        <v/>
      </c>
      <c r="AG77" s="115" t="str">
        <f>IF(D77="","",VLOOKUP(F77,'9. All Habitats + Multipliers'!$C$4:$K$102,5,FALSE))</f>
        <v/>
      </c>
      <c r="AH77" s="116" t="str">
        <f>IF(AG77="","",VLOOKUP(AG77,'11. Lists'!$B$47:$D$49,2,FALSE))</f>
        <v/>
      </c>
      <c r="AI77" s="115" t="str">
        <f t="shared" si="21"/>
        <v/>
      </c>
      <c r="AJ77" s="485" t="str">
        <f>IF(AI77="","",VLOOKUP(AI77,'11. Lists'!$F$47:$G$51,2,FALSE))</f>
        <v/>
      </c>
      <c r="AK77" s="486"/>
      <c r="AL77" s="486"/>
      <c r="AM77" s="486"/>
      <c r="AN77" s="485" t="str">
        <f t="shared" si="22"/>
        <v/>
      </c>
      <c r="AO77" s="117" t="str">
        <f>IF(AN77="","",VLOOKUP(AN77,'11. Lists'!$F$36:$H$38,2,FALSE))</f>
        <v/>
      </c>
      <c r="AP77" s="116" t="str">
        <f>IF(AN77="","",VLOOKUP(AN77,'11. Lists'!$F$36:$H$38,3,FALSE))</f>
        <v/>
      </c>
      <c r="AQ77" s="115" t="str">
        <f>IF(D77="","",IF(AX77="Distinctiveness","N/A",VLOOKUP(F77,'10. Condition and Temporal'!$B$6:$L$103,11,FALSE)))</f>
        <v/>
      </c>
      <c r="AR77" s="119" t="str">
        <f>IF(AQ77="","",IF(AQ77="N/A","1",VLOOKUP(AQ77,'11. Lists'!$I$47:$K$80,3,FALSE)))</f>
        <v/>
      </c>
      <c r="AS77" s="135" t="str">
        <f>IF(D77="","",IF(AX77="Condition","N/A",VLOOKUP(F77,'10. Condition and Temporal'!$B$6:$M$106,12,FALSE)))</f>
        <v/>
      </c>
      <c r="AT77" s="119" t="str">
        <f>IF(AS77="","",IF(AS77="N/A","1",VLOOKUP(AS77,'11. Lists'!$I$47:$K$80,3,FALSE)))</f>
        <v/>
      </c>
      <c r="AU77" s="118" t="str">
        <f>IF(D77="","",VLOOKUP(F77,'9. All Habitats + Multipliers'!$C$4:$K$102,8,FALSE))</f>
        <v/>
      </c>
      <c r="AV77" s="116" t="str">
        <f>IF(AU77="","",VLOOKUP(AU77,'11. Lists'!$J$35:$K$38,2,FALSE))</f>
        <v/>
      </c>
      <c r="AW77" s="115" t="str">
        <f>IF(D77="","",VLOOKUP(D77,'10. Condition and Temporal'!$B$6:$M$103,4,FALSE))</f>
        <v/>
      </c>
      <c r="AX77" s="467" t="str">
        <f t="shared" si="23"/>
        <v/>
      </c>
      <c r="AY77" s="490" t="str">
        <v>1</v>
      </c>
      <c r="AZ77" s="487"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8" t="str">
        <f t="shared" si="51"/>
        <v/>
      </c>
      <c r="BW77" s="95" t="s">
        <v>177</v>
      </c>
      <c r="BX77" s="95">
        <f>BM64</f>
        <v>0</v>
      </c>
    </row>
    <row r="78" spans="1:76" s="25" customFormat="1" ht="15.75" customHeight="1">
      <c r="B78" s="268">
        <v>13</v>
      </c>
      <c r="C78" s="120" t="str">
        <f t="shared" si="13"/>
        <v/>
      </c>
      <c r="D78" s="212" t="str">
        <f t="shared" si="44"/>
        <v/>
      </c>
      <c r="E78" s="170" t="str">
        <f t="shared" si="14"/>
        <v/>
      </c>
      <c r="F78" s="818"/>
      <c r="G78" s="819"/>
      <c r="H78" s="167" t="str">
        <f t="shared" si="15"/>
        <v/>
      </c>
      <c r="I78" s="321" t="str">
        <f t="shared" si="45"/>
        <v/>
      </c>
      <c r="J78" s="944" t="str">
        <f>IF(F78="","",VLOOKUP(F78,'10. Condition and Temporal'!$B$6:$F$103,5,FALSE))</f>
        <v/>
      </c>
      <c r="K78" s="945"/>
      <c r="L78" s="298" t="str">
        <f t="shared" si="46"/>
        <v/>
      </c>
      <c r="M78" s="940" t="str">
        <f t="shared" si="47"/>
        <v/>
      </c>
      <c r="N78" s="941"/>
      <c r="O78" s="74"/>
      <c r="P78" s="12"/>
      <c r="R78" s="733"/>
      <c r="T78" s="181" t="str">
        <f t="shared" si="16"/>
        <v/>
      </c>
      <c r="U78" s="115" t="str">
        <f t="shared" si="48"/>
        <v/>
      </c>
      <c r="V78" s="116" t="str">
        <f t="shared" si="17"/>
        <v/>
      </c>
      <c r="W78" s="114" t="str">
        <f t="shared" si="17"/>
        <v/>
      </c>
      <c r="X78" s="93" t="str">
        <f t="shared" si="17"/>
        <v/>
      </c>
      <c r="Y78" s="347"/>
      <c r="Z78" s="347"/>
      <c r="AA78" s="347"/>
      <c r="AB78" s="94" t="str">
        <f t="shared" si="18"/>
        <v/>
      </c>
      <c r="AC78" s="118" t="str">
        <f t="shared" si="19"/>
        <v/>
      </c>
      <c r="AD78" s="116" t="str">
        <f t="shared" si="49"/>
        <v/>
      </c>
      <c r="AE78" s="183" t="str">
        <f t="shared" si="50"/>
        <v/>
      </c>
      <c r="AF78" s="114" t="str">
        <f t="shared" si="20"/>
        <v/>
      </c>
      <c r="AG78" s="115" t="str">
        <f>IF(D78="","",VLOOKUP(F78,'9. All Habitats + Multipliers'!$C$4:$K$102,5,FALSE))</f>
        <v/>
      </c>
      <c r="AH78" s="116" t="str">
        <f>IF(AG78="","",VLOOKUP(AG78,'11. Lists'!$B$47:$D$49,2,FALSE))</f>
        <v/>
      </c>
      <c r="AI78" s="115" t="str">
        <f t="shared" si="21"/>
        <v/>
      </c>
      <c r="AJ78" s="485" t="str">
        <f>IF(AI78="","",VLOOKUP(AI78,'11. Lists'!$F$47:$G$51,2,FALSE))</f>
        <v/>
      </c>
      <c r="AK78" s="486"/>
      <c r="AL78" s="486"/>
      <c r="AM78" s="486"/>
      <c r="AN78" s="485" t="str">
        <f t="shared" si="22"/>
        <v/>
      </c>
      <c r="AO78" s="117" t="str">
        <f>IF(AN78="","",VLOOKUP(AN78,'11. Lists'!$F$36:$H$38,2,FALSE))</f>
        <v/>
      </c>
      <c r="AP78" s="116" t="str">
        <f>IF(AN78="","",VLOOKUP(AN78,'11. Lists'!$F$36:$H$38,3,FALSE))</f>
        <v/>
      </c>
      <c r="AQ78" s="115" t="str">
        <f>IF(D78="","",IF(AX78="Distinctiveness","N/A",VLOOKUP(F78,'10. Condition and Temporal'!$B$6:$L$103,11,FALSE)))</f>
        <v/>
      </c>
      <c r="AR78" s="119" t="str">
        <f>IF(AQ78="","",IF(AQ78="N/A","1",VLOOKUP(AQ78,'11. Lists'!$I$47:$K$80,3,FALSE)))</f>
        <v/>
      </c>
      <c r="AS78" s="135" t="str">
        <f>IF(D78="","",IF(AX78="Condition","N/A",VLOOKUP(F78,'10. Condition and Temporal'!$B$6:$M$106,12,FALSE)))</f>
        <v/>
      </c>
      <c r="AT78" s="119" t="str">
        <f>IF(AS78="","",IF(AS78="N/A","1",VLOOKUP(AS78,'11. Lists'!$I$47:$K$80,3,FALSE)))</f>
        <v/>
      </c>
      <c r="AU78" s="118" t="str">
        <f>IF(D78="","",VLOOKUP(F78,'9. All Habitats + Multipliers'!$C$4:$K$102,8,FALSE))</f>
        <v/>
      </c>
      <c r="AV78" s="116" t="str">
        <f>IF(AU78="","",VLOOKUP(AU78,'11. Lists'!$J$35:$K$38,2,FALSE))</f>
        <v/>
      </c>
      <c r="AW78" s="115" t="str">
        <f>IF(D78="","",VLOOKUP(D78,'10. Condition and Temporal'!$B$6:$M$103,4,FALSE))</f>
        <v/>
      </c>
      <c r="AX78" s="467" t="str">
        <f t="shared" si="23"/>
        <v/>
      </c>
      <c r="AY78" s="490" t="str">
        <v>1</v>
      </c>
      <c r="AZ78" s="487"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8" t="str">
        <f t="shared" si="51"/>
        <v/>
      </c>
      <c r="BW78" s="95" t="s">
        <v>178</v>
      </c>
      <c r="BX78" s="95">
        <f>BN64</f>
        <v>0</v>
      </c>
    </row>
    <row r="79" spans="1:76" s="25" customFormat="1" ht="15.6">
      <c r="B79" s="268">
        <v>14</v>
      </c>
      <c r="C79" s="120" t="str">
        <f t="shared" si="13"/>
        <v/>
      </c>
      <c r="D79" s="212" t="str">
        <f t="shared" si="44"/>
        <v/>
      </c>
      <c r="E79" s="170" t="str">
        <f t="shared" si="14"/>
        <v/>
      </c>
      <c r="F79" s="818"/>
      <c r="G79" s="819"/>
      <c r="H79" s="167" t="str">
        <f t="shared" si="15"/>
        <v/>
      </c>
      <c r="I79" s="321" t="str">
        <f t="shared" si="45"/>
        <v/>
      </c>
      <c r="J79" s="944" t="str">
        <f>IF(F79="","",VLOOKUP(F79,'10. Condition and Temporal'!$B$6:$F$103,5,FALSE))</f>
        <v/>
      </c>
      <c r="K79" s="945"/>
      <c r="L79" s="298" t="str">
        <f t="shared" si="46"/>
        <v/>
      </c>
      <c r="M79" s="940" t="str">
        <f t="shared" si="47"/>
        <v/>
      </c>
      <c r="N79" s="941"/>
      <c r="O79" s="74"/>
      <c r="P79" s="12"/>
      <c r="R79" s="733"/>
      <c r="T79" s="181" t="str">
        <f t="shared" si="16"/>
        <v/>
      </c>
      <c r="U79" s="115" t="str">
        <f t="shared" si="48"/>
        <v/>
      </c>
      <c r="V79" s="116" t="str">
        <f t="shared" si="17"/>
        <v/>
      </c>
      <c r="W79" s="114" t="str">
        <f t="shared" si="17"/>
        <v/>
      </c>
      <c r="X79" s="93" t="str">
        <f t="shared" si="17"/>
        <v/>
      </c>
      <c r="Y79" s="347"/>
      <c r="Z79" s="347"/>
      <c r="AA79" s="347"/>
      <c r="AB79" s="94" t="str">
        <f t="shared" si="18"/>
        <v/>
      </c>
      <c r="AC79" s="118" t="str">
        <f t="shared" si="19"/>
        <v/>
      </c>
      <c r="AD79" s="116" t="str">
        <f t="shared" si="49"/>
        <v/>
      </c>
      <c r="AE79" s="183" t="str">
        <f t="shared" si="50"/>
        <v/>
      </c>
      <c r="AF79" s="114" t="str">
        <f t="shared" si="20"/>
        <v/>
      </c>
      <c r="AG79" s="115" t="str">
        <f>IF(D79="","",VLOOKUP(F79,'9. All Habitats + Multipliers'!$C$4:$K$102,5,FALSE))</f>
        <v/>
      </c>
      <c r="AH79" s="116" t="str">
        <f>IF(AG79="","",VLOOKUP(AG79,'11. Lists'!$B$47:$D$49,2,FALSE))</f>
        <v/>
      </c>
      <c r="AI79" s="115" t="str">
        <f t="shared" si="21"/>
        <v/>
      </c>
      <c r="AJ79" s="485" t="str">
        <f>IF(AI79="","",VLOOKUP(AI79,'11. Lists'!$F$47:$G$51,2,FALSE))</f>
        <v/>
      </c>
      <c r="AK79" s="486"/>
      <c r="AL79" s="486"/>
      <c r="AM79" s="486"/>
      <c r="AN79" s="485" t="str">
        <f t="shared" si="22"/>
        <v/>
      </c>
      <c r="AO79" s="117" t="str">
        <f>IF(AN79="","",VLOOKUP(AN79,'11. Lists'!$F$36:$H$38,2,FALSE))</f>
        <v/>
      </c>
      <c r="AP79" s="116" t="str">
        <f>IF(AN79="","",VLOOKUP(AN79,'11. Lists'!$F$36:$H$38,3,FALSE))</f>
        <v/>
      </c>
      <c r="AQ79" s="115" t="str">
        <f>IF(D79="","",IF(AX79="Distinctiveness","N/A",VLOOKUP(F79,'10. Condition and Temporal'!$B$6:$L$103,11,FALSE)))</f>
        <v/>
      </c>
      <c r="AR79" s="119" t="str">
        <f>IF(AQ79="","",IF(AQ79="N/A","1",VLOOKUP(AQ79,'11. Lists'!$I$47:$K$80,3,FALSE)))</f>
        <v/>
      </c>
      <c r="AS79" s="135" t="str">
        <f>IF(D79="","",IF(AX79="Condition","N/A",VLOOKUP(F79,'10. Condition and Temporal'!$B$6:$M$106,12,FALSE)))</f>
        <v/>
      </c>
      <c r="AT79" s="119" t="str">
        <f>IF(AS79="","",IF(AS79="N/A","1",VLOOKUP(AS79,'11. Lists'!$I$47:$K$80,3,FALSE)))</f>
        <v/>
      </c>
      <c r="AU79" s="118" t="str">
        <f>IF(D79="","",VLOOKUP(F79,'9. All Habitats + Multipliers'!$C$4:$K$102,8,FALSE))</f>
        <v/>
      </c>
      <c r="AV79" s="116" t="str">
        <f>IF(AU79="","",VLOOKUP(AU79,'11. Lists'!$J$35:$K$38,2,FALSE))</f>
        <v/>
      </c>
      <c r="AW79" s="115" t="str">
        <f>IF(D79="","",VLOOKUP(D79,'10. Condition and Temporal'!$B$6:$M$103,4,FALSE))</f>
        <v/>
      </c>
      <c r="AX79" s="467" t="str">
        <f t="shared" si="23"/>
        <v/>
      </c>
      <c r="AY79" s="490" t="str">
        <v>1</v>
      </c>
      <c r="AZ79" s="487"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8" t="str">
        <f t="shared" si="51"/>
        <v/>
      </c>
      <c r="BW79" s="95" t="s">
        <v>179</v>
      </c>
      <c r="BX79" s="95">
        <f>BO64</f>
        <v>0</v>
      </c>
    </row>
    <row r="80" spans="1:76" s="25" customFormat="1" ht="15.75" customHeight="1">
      <c r="B80" s="268">
        <v>15</v>
      </c>
      <c r="C80" s="120" t="str">
        <f t="shared" si="13"/>
        <v/>
      </c>
      <c r="D80" s="212" t="str">
        <f t="shared" si="44"/>
        <v/>
      </c>
      <c r="E80" s="170" t="str">
        <f t="shared" si="14"/>
        <v/>
      </c>
      <c r="F80" s="818"/>
      <c r="G80" s="819"/>
      <c r="H80" s="167" t="str">
        <f t="shared" si="15"/>
        <v/>
      </c>
      <c r="I80" s="321" t="str">
        <f t="shared" si="45"/>
        <v/>
      </c>
      <c r="J80" s="944" t="str">
        <f>IF(F80="","",VLOOKUP(F80,'10. Condition and Temporal'!$B$6:$F$103,5,FALSE))</f>
        <v/>
      </c>
      <c r="K80" s="945"/>
      <c r="L80" s="298" t="str">
        <f t="shared" si="46"/>
        <v/>
      </c>
      <c r="M80" s="940" t="str">
        <f t="shared" si="47"/>
        <v/>
      </c>
      <c r="N80" s="941"/>
      <c r="O80" s="74"/>
      <c r="P80" s="12"/>
      <c r="R80" s="733"/>
      <c r="T80" s="181" t="str">
        <f t="shared" si="16"/>
        <v/>
      </c>
      <c r="U80" s="115" t="str">
        <f t="shared" si="48"/>
        <v/>
      </c>
      <c r="V80" s="116" t="str">
        <f t="shared" si="17"/>
        <v/>
      </c>
      <c r="W80" s="114" t="str">
        <f t="shared" si="17"/>
        <v/>
      </c>
      <c r="X80" s="93" t="str">
        <f t="shared" si="17"/>
        <v/>
      </c>
      <c r="Y80" s="347"/>
      <c r="Z80" s="347"/>
      <c r="AA80" s="347"/>
      <c r="AB80" s="94" t="str">
        <f t="shared" si="18"/>
        <v/>
      </c>
      <c r="AC80" s="118" t="str">
        <f t="shared" si="19"/>
        <v/>
      </c>
      <c r="AD80" s="116" t="str">
        <f t="shared" si="49"/>
        <v/>
      </c>
      <c r="AE80" s="183" t="str">
        <f t="shared" si="50"/>
        <v/>
      </c>
      <c r="AF80" s="114" t="str">
        <f t="shared" si="20"/>
        <v/>
      </c>
      <c r="AG80" s="115" t="str">
        <f>IF(D80="","",VLOOKUP(F80,'9. All Habitats + Multipliers'!$C$4:$K$102,5,FALSE))</f>
        <v/>
      </c>
      <c r="AH80" s="116" t="str">
        <f>IF(AG80="","",VLOOKUP(AG80,'11. Lists'!$B$47:$D$49,2,FALSE))</f>
        <v/>
      </c>
      <c r="AI80" s="115" t="str">
        <f t="shared" si="21"/>
        <v/>
      </c>
      <c r="AJ80" s="485" t="str">
        <f>IF(AI80="","",VLOOKUP(AI80,'11. Lists'!$F$47:$G$51,2,FALSE))</f>
        <v/>
      </c>
      <c r="AK80" s="486"/>
      <c r="AL80" s="486"/>
      <c r="AM80" s="486"/>
      <c r="AN80" s="485" t="str">
        <f t="shared" si="22"/>
        <v/>
      </c>
      <c r="AO80" s="117" t="str">
        <f>IF(AN80="","",VLOOKUP(AN80,'11. Lists'!$F$36:$H$38,2,FALSE))</f>
        <v/>
      </c>
      <c r="AP80" s="116" t="str">
        <f>IF(AN80="","",VLOOKUP(AN80,'11. Lists'!$F$36:$H$38,3,FALSE))</f>
        <v/>
      </c>
      <c r="AQ80" s="115" t="str">
        <f>IF(D80="","",IF(AX80="Distinctiveness","N/A",VLOOKUP(F80,'10. Condition and Temporal'!$B$6:$L$103,11,FALSE)))</f>
        <v/>
      </c>
      <c r="AR80" s="119" t="str">
        <f>IF(AQ80="","",IF(AQ80="N/A","1",VLOOKUP(AQ80,'11. Lists'!$I$47:$K$80,3,FALSE)))</f>
        <v/>
      </c>
      <c r="AS80" s="135" t="str">
        <f>IF(D80="","",IF(AX80="Condition","N/A",VLOOKUP(F80,'10. Condition and Temporal'!$B$6:$M$106,12,FALSE)))</f>
        <v/>
      </c>
      <c r="AT80" s="119" t="str">
        <f>IF(AS80="","",IF(AS80="N/A","1",VLOOKUP(AS80,'11. Lists'!$I$47:$K$80,3,FALSE)))</f>
        <v/>
      </c>
      <c r="AU80" s="118" t="str">
        <f>IF(D80="","",VLOOKUP(F80,'9. All Habitats + Multipliers'!$C$4:$K$102,8,FALSE))</f>
        <v/>
      </c>
      <c r="AV80" s="116" t="str">
        <f>IF(AU80="","",VLOOKUP(AU80,'11. Lists'!$J$35:$K$38,2,FALSE))</f>
        <v/>
      </c>
      <c r="AW80" s="115" t="str">
        <f>IF(D80="","",VLOOKUP(D80,'10. Condition and Temporal'!$B$6:$M$103,4,FALSE))</f>
        <v/>
      </c>
      <c r="AX80" s="467" t="str">
        <f t="shared" si="23"/>
        <v/>
      </c>
      <c r="AY80" s="490" t="str">
        <v>1</v>
      </c>
      <c r="AZ80" s="487"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8" t="str">
        <f t="shared" si="51"/>
        <v/>
      </c>
      <c r="BW80" s="95" t="s">
        <v>180</v>
      </c>
      <c r="BX80" s="95">
        <f>BP64</f>
        <v>0</v>
      </c>
    </row>
    <row r="81" spans="1:76" s="25" customFormat="1" ht="15.75" customHeight="1">
      <c r="B81" s="268">
        <v>16</v>
      </c>
      <c r="C81" s="120" t="str">
        <f t="shared" si="13"/>
        <v/>
      </c>
      <c r="D81" s="212" t="str">
        <f t="shared" si="44"/>
        <v/>
      </c>
      <c r="E81" s="170" t="str">
        <f t="shared" si="14"/>
        <v/>
      </c>
      <c r="F81" s="818"/>
      <c r="G81" s="819"/>
      <c r="H81" s="167" t="str">
        <f t="shared" si="15"/>
        <v/>
      </c>
      <c r="I81" s="321" t="str">
        <f t="shared" si="45"/>
        <v/>
      </c>
      <c r="J81" s="944" t="str">
        <f>IF(F81="","",VLOOKUP(F81,'10. Condition and Temporal'!$B$6:$F$103,5,FALSE))</f>
        <v/>
      </c>
      <c r="K81" s="945"/>
      <c r="L81" s="298" t="str">
        <f t="shared" si="46"/>
        <v/>
      </c>
      <c r="M81" s="940" t="str">
        <f t="shared" si="47"/>
        <v/>
      </c>
      <c r="N81" s="941"/>
      <c r="O81" s="74"/>
      <c r="P81" s="12"/>
      <c r="R81" s="733"/>
      <c r="T81" s="181" t="str">
        <f t="shared" si="16"/>
        <v/>
      </c>
      <c r="U81" s="115" t="str">
        <f t="shared" si="48"/>
        <v/>
      </c>
      <c r="V81" s="116" t="str">
        <f t="shared" si="17"/>
        <v/>
      </c>
      <c r="W81" s="114" t="str">
        <f t="shared" si="17"/>
        <v/>
      </c>
      <c r="X81" s="93" t="str">
        <f t="shared" si="17"/>
        <v/>
      </c>
      <c r="Y81" s="347"/>
      <c r="Z81" s="347"/>
      <c r="AA81" s="347"/>
      <c r="AB81" s="94" t="str">
        <f t="shared" si="18"/>
        <v/>
      </c>
      <c r="AC81" s="118" t="str">
        <f t="shared" si="19"/>
        <v/>
      </c>
      <c r="AD81" s="116" t="str">
        <f t="shared" si="49"/>
        <v/>
      </c>
      <c r="AE81" s="183" t="str">
        <f t="shared" si="50"/>
        <v/>
      </c>
      <c r="AF81" s="114" t="str">
        <f t="shared" si="20"/>
        <v/>
      </c>
      <c r="AG81" s="115" t="str">
        <f>IF(D81="","",VLOOKUP(F81,'9. All Habitats + Multipliers'!$C$4:$K$102,5,FALSE))</f>
        <v/>
      </c>
      <c r="AH81" s="116" t="str">
        <f>IF(AG81="","",VLOOKUP(AG81,'11. Lists'!$B$47:$D$49,2,FALSE))</f>
        <v/>
      </c>
      <c r="AI81" s="115" t="str">
        <f t="shared" si="21"/>
        <v/>
      </c>
      <c r="AJ81" s="485" t="str">
        <f>IF(AI81="","",VLOOKUP(AI81,'11. Lists'!$F$47:$G$51,2,FALSE))</f>
        <v/>
      </c>
      <c r="AK81" s="486"/>
      <c r="AL81" s="486"/>
      <c r="AM81" s="486"/>
      <c r="AN81" s="485" t="str">
        <f t="shared" si="22"/>
        <v/>
      </c>
      <c r="AO81" s="117" t="str">
        <f>IF(AN81="","",VLOOKUP(AN81,'11. Lists'!$F$36:$H$38,2,FALSE))</f>
        <v/>
      </c>
      <c r="AP81" s="116" t="str">
        <f>IF(AN81="","",VLOOKUP(AN81,'11. Lists'!$F$36:$H$38,3,FALSE))</f>
        <v/>
      </c>
      <c r="AQ81" s="115" t="str">
        <f>IF(D81="","",IF(AX81="Distinctiveness","N/A",VLOOKUP(F81,'10. Condition and Temporal'!$B$6:$L$103,11,FALSE)))</f>
        <v/>
      </c>
      <c r="AR81" s="119" t="str">
        <f>IF(AQ81="","",IF(AQ81="N/A","1",VLOOKUP(AQ81,'11. Lists'!$I$47:$K$80,3,FALSE)))</f>
        <v/>
      </c>
      <c r="AS81" s="135" t="str">
        <f>IF(D81="","",IF(AX81="Condition","N/A",VLOOKUP(F81,'10. Condition and Temporal'!$B$6:$M$106,12,FALSE)))</f>
        <v/>
      </c>
      <c r="AT81" s="119" t="str">
        <f>IF(AS81="","",IF(AS81="N/A","1",VLOOKUP(AS81,'11. Lists'!$I$47:$K$80,3,FALSE)))</f>
        <v/>
      </c>
      <c r="AU81" s="118" t="str">
        <f>IF(D81="","",VLOOKUP(F81,'9. All Habitats + Multipliers'!$C$4:$K$102,8,FALSE))</f>
        <v/>
      </c>
      <c r="AV81" s="116" t="str">
        <f>IF(AU81="","",VLOOKUP(AU81,'11. Lists'!$J$35:$K$38,2,FALSE))</f>
        <v/>
      </c>
      <c r="AW81" s="115" t="str">
        <f>IF(D81="","",VLOOKUP(D81,'10. Condition and Temporal'!$B$6:$M$103,4,FALSE))</f>
        <v/>
      </c>
      <c r="AX81" s="467" t="str">
        <f t="shared" si="23"/>
        <v/>
      </c>
      <c r="AY81" s="490" t="str">
        <v>1</v>
      </c>
      <c r="AZ81" s="487"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8" t="str">
        <f t="shared" si="51"/>
        <v/>
      </c>
      <c r="BW81" s="95" t="s">
        <v>181</v>
      </c>
      <c r="BX81" s="95">
        <f>BQ64</f>
        <v>0</v>
      </c>
    </row>
    <row r="82" spans="1:76" s="25" customFormat="1" ht="15.6">
      <c r="B82" s="268">
        <v>17</v>
      </c>
      <c r="C82" s="120" t="str">
        <f t="shared" si="13"/>
        <v/>
      </c>
      <c r="D82" s="212" t="str">
        <f t="shared" si="44"/>
        <v/>
      </c>
      <c r="E82" s="170" t="str">
        <f t="shared" si="14"/>
        <v/>
      </c>
      <c r="F82" s="818"/>
      <c r="G82" s="819"/>
      <c r="H82" s="167" t="str">
        <f t="shared" si="15"/>
        <v/>
      </c>
      <c r="I82" s="321" t="str">
        <f t="shared" si="45"/>
        <v/>
      </c>
      <c r="J82" s="944" t="str">
        <f>IF(F82="","",VLOOKUP(F82,'10. Condition and Temporal'!$B$6:$F$103,5,FALSE))</f>
        <v/>
      </c>
      <c r="K82" s="945"/>
      <c r="L82" s="298" t="str">
        <f t="shared" si="46"/>
        <v/>
      </c>
      <c r="M82" s="940" t="str">
        <f t="shared" si="47"/>
        <v/>
      </c>
      <c r="N82" s="941"/>
      <c r="O82" s="74"/>
      <c r="P82" s="12"/>
      <c r="R82" s="733"/>
      <c r="T82" s="181" t="str">
        <f t="shared" si="16"/>
        <v/>
      </c>
      <c r="U82" s="115" t="str">
        <f t="shared" si="48"/>
        <v/>
      </c>
      <c r="V82" s="116" t="str">
        <f t="shared" si="17"/>
        <v/>
      </c>
      <c r="W82" s="114" t="str">
        <f t="shared" si="17"/>
        <v/>
      </c>
      <c r="X82" s="93" t="str">
        <f t="shared" si="17"/>
        <v/>
      </c>
      <c r="Y82" s="347"/>
      <c r="Z82" s="347"/>
      <c r="AA82" s="347"/>
      <c r="AB82" s="94" t="str">
        <f t="shared" si="18"/>
        <v/>
      </c>
      <c r="AC82" s="118" t="str">
        <f t="shared" si="19"/>
        <v/>
      </c>
      <c r="AD82" s="116" t="str">
        <f t="shared" si="49"/>
        <v/>
      </c>
      <c r="AE82" s="183" t="str">
        <f t="shared" si="50"/>
        <v/>
      </c>
      <c r="AF82" s="114" t="str">
        <f t="shared" si="20"/>
        <v/>
      </c>
      <c r="AG82" s="115" t="str">
        <f>IF(D82="","",VLOOKUP(F82,'9. All Habitats + Multipliers'!$C$4:$K$102,5,FALSE))</f>
        <v/>
      </c>
      <c r="AH82" s="116" t="str">
        <f>IF(AG82="","",VLOOKUP(AG82,'11. Lists'!$B$47:$D$49,2,FALSE))</f>
        <v/>
      </c>
      <c r="AI82" s="115" t="str">
        <f t="shared" si="21"/>
        <v/>
      </c>
      <c r="AJ82" s="485" t="str">
        <f>IF(AI82="","",VLOOKUP(AI82,'11. Lists'!$F$47:$G$51,2,FALSE))</f>
        <v/>
      </c>
      <c r="AK82" s="486"/>
      <c r="AL82" s="486"/>
      <c r="AM82" s="486"/>
      <c r="AN82" s="485" t="str">
        <f t="shared" si="22"/>
        <v/>
      </c>
      <c r="AO82" s="117" t="str">
        <f>IF(AN82="","",VLOOKUP(AN82,'11. Lists'!$F$36:$H$38,2,FALSE))</f>
        <v/>
      </c>
      <c r="AP82" s="116" t="str">
        <f>IF(AN82="","",VLOOKUP(AN82,'11. Lists'!$F$36:$H$38,3,FALSE))</f>
        <v/>
      </c>
      <c r="AQ82" s="115" t="str">
        <f>IF(D82="","",IF(AX82="Distinctiveness","N/A",VLOOKUP(F82,'10. Condition and Temporal'!$B$6:$L$103,11,FALSE)))</f>
        <v/>
      </c>
      <c r="AR82" s="119" t="str">
        <f>IF(AQ82="","",IF(AQ82="N/A","1",VLOOKUP(AQ82,'11. Lists'!$I$47:$K$80,3,FALSE)))</f>
        <v/>
      </c>
      <c r="AS82" s="135" t="str">
        <f>IF(D82="","",IF(AX82="Condition","N/A",VLOOKUP(F82,'10. Condition and Temporal'!$B$6:$M$106,12,FALSE)))</f>
        <v/>
      </c>
      <c r="AT82" s="119" t="str">
        <f>IF(AS82="","",IF(AS82="N/A","1",VLOOKUP(AS82,'11. Lists'!$I$47:$K$80,3,FALSE)))</f>
        <v/>
      </c>
      <c r="AU82" s="118" t="str">
        <f>IF(D82="","",VLOOKUP(F82,'9. All Habitats + Multipliers'!$C$4:$K$102,8,FALSE))</f>
        <v/>
      </c>
      <c r="AV82" s="116" t="str">
        <f>IF(AU82="","",VLOOKUP(AU82,'11. Lists'!$J$35:$K$38,2,FALSE))</f>
        <v/>
      </c>
      <c r="AW82" s="115" t="str">
        <f>IF(D82="","",VLOOKUP(D82,'10. Condition and Temporal'!$B$6:$M$103,4,FALSE))</f>
        <v/>
      </c>
      <c r="AX82" s="467" t="str">
        <f t="shared" si="23"/>
        <v/>
      </c>
      <c r="AY82" s="490" t="str">
        <v>1</v>
      </c>
      <c r="AZ82" s="487"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8" t="str">
        <f t="shared" si="51"/>
        <v/>
      </c>
      <c r="BW82" s="95" t="s">
        <v>182</v>
      </c>
      <c r="BX82" s="95">
        <f>BR64</f>
        <v>0</v>
      </c>
    </row>
    <row r="83" spans="1:76" s="25" customFormat="1" ht="15.75" customHeight="1">
      <c r="B83" s="268">
        <v>18</v>
      </c>
      <c r="C83" s="120" t="str">
        <f t="shared" si="13"/>
        <v/>
      </c>
      <c r="D83" s="212" t="str">
        <f t="shared" si="44"/>
        <v/>
      </c>
      <c r="E83" s="170" t="str">
        <f t="shared" si="14"/>
        <v/>
      </c>
      <c r="F83" s="818"/>
      <c r="G83" s="819"/>
      <c r="H83" s="167" t="str">
        <f t="shared" si="15"/>
        <v/>
      </c>
      <c r="I83" s="321" t="str">
        <f t="shared" si="45"/>
        <v/>
      </c>
      <c r="J83" s="944" t="str">
        <f>IF(F83="","",VLOOKUP(F83,'10. Condition and Temporal'!$B$6:$F$103,5,FALSE))</f>
        <v/>
      </c>
      <c r="K83" s="945"/>
      <c r="L83" s="298" t="str">
        <f t="shared" si="46"/>
        <v/>
      </c>
      <c r="M83" s="940" t="str">
        <f t="shared" si="47"/>
        <v/>
      </c>
      <c r="N83" s="941"/>
      <c r="O83" s="74"/>
      <c r="P83" s="12"/>
      <c r="R83" s="733"/>
      <c r="T83" s="181" t="str">
        <f t="shared" si="16"/>
        <v/>
      </c>
      <c r="U83" s="115" t="str">
        <f t="shared" si="48"/>
        <v/>
      </c>
      <c r="V83" s="116" t="str">
        <f t="shared" si="17"/>
        <v/>
      </c>
      <c r="W83" s="114" t="str">
        <f t="shared" si="17"/>
        <v/>
      </c>
      <c r="X83" s="93" t="str">
        <f t="shared" si="17"/>
        <v/>
      </c>
      <c r="Y83" s="347"/>
      <c r="Z83" s="347"/>
      <c r="AA83" s="347"/>
      <c r="AB83" s="94" t="str">
        <f t="shared" si="18"/>
        <v/>
      </c>
      <c r="AC83" s="118" t="str">
        <f t="shared" si="19"/>
        <v/>
      </c>
      <c r="AD83" s="116" t="str">
        <f t="shared" si="49"/>
        <v/>
      </c>
      <c r="AE83" s="183" t="str">
        <f t="shared" si="50"/>
        <v/>
      </c>
      <c r="AF83" s="114" t="str">
        <f t="shared" si="20"/>
        <v/>
      </c>
      <c r="AG83" s="115" t="str">
        <f>IF(D83="","",VLOOKUP(F83,'9. All Habitats + Multipliers'!$C$4:$K$102,5,FALSE))</f>
        <v/>
      </c>
      <c r="AH83" s="116" t="str">
        <f>IF(AG83="","",VLOOKUP(AG83,'11. Lists'!$B$47:$D$49,2,FALSE))</f>
        <v/>
      </c>
      <c r="AI83" s="115" t="str">
        <f t="shared" si="21"/>
        <v/>
      </c>
      <c r="AJ83" s="485" t="str">
        <f>IF(AI83="","",VLOOKUP(AI83,'11. Lists'!$F$47:$G$51,2,FALSE))</f>
        <v/>
      </c>
      <c r="AK83" s="486"/>
      <c r="AL83" s="486"/>
      <c r="AM83" s="486"/>
      <c r="AN83" s="485" t="str">
        <f t="shared" si="22"/>
        <v/>
      </c>
      <c r="AO83" s="117" t="str">
        <f>IF(AN83="","",VLOOKUP(AN83,'11. Lists'!$F$36:$H$38,2,FALSE))</f>
        <v/>
      </c>
      <c r="AP83" s="116" t="str">
        <f>IF(AN83="","",VLOOKUP(AN83,'11. Lists'!$F$36:$H$38,3,FALSE))</f>
        <v/>
      </c>
      <c r="AQ83" s="115" t="str">
        <f>IF(D83="","",IF(AX83="Distinctiveness","N/A",VLOOKUP(F83,'10. Condition and Temporal'!$B$6:$L$103,11,FALSE)))</f>
        <v/>
      </c>
      <c r="AR83" s="119" t="str">
        <f>IF(AQ83="","",IF(AQ83="N/A","1",VLOOKUP(AQ83,'11. Lists'!$I$47:$K$80,3,FALSE)))</f>
        <v/>
      </c>
      <c r="AS83" s="135" t="str">
        <f>IF(D83="","",IF(AX83="Condition","N/A",VLOOKUP(F83,'10. Condition and Temporal'!$B$6:$M$106,12,FALSE)))</f>
        <v/>
      </c>
      <c r="AT83" s="119" t="str">
        <f>IF(AS83="","",IF(AS83="N/A","1",VLOOKUP(AS83,'11. Lists'!$I$47:$K$80,3,FALSE)))</f>
        <v/>
      </c>
      <c r="AU83" s="118" t="str">
        <f>IF(D83="","",VLOOKUP(F83,'9. All Habitats + Multipliers'!$C$4:$K$102,8,FALSE))</f>
        <v/>
      </c>
      <c r="AV83" s="116" t="str">
        <f>IF(AU83="","",VLOOKUP(AU83,'11. Lists'!$J$35:$K$38,2,FALSE))</f>
        <v/>
      </c>
      <c r="AW83" s="115" t="str">
        <f>IF(D83="","",VLOOKUP(D83,'10. Condition and Temporal'!$B$6:$M$103,4,FALSE))</f>
        <v/>
      </c>
      <c r="AX83" s="467" t="str">
        <f t="shared" si="23"/>
        <v/>
      </c>
      <c r="AY83" s="490" t="str">
        <v>1</v>
      </c>
      <c r="AZ83" s="487"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8" t="str">
        <f t="shared" si="51"/>
        <v/>
      </c>
      <c r="BW83" s="95" t="s">
        <v>183</v>
      </c>
      <c r="BX83" s="95">
        <f>BS64</f>
        <v>0</v>
      </c>
    </row>
    <row r="84" spans="1:76" s="25" customFormat="1" ht="15.75" customHeight="1">
      <c r="B84" s="268">
        <v>19</v>
      </c>
      <c r="C84" s="120" t="str">
        <f t="shared" si="13"/>
        <v/>
      </c>
      <c r="D84" s="212" t="str">
        <f t="shared" si="44"/>
        <v/>
      </c>
      <c r="E84" s="170" t="str">
        <f t="shared" si="14"/>
        <v/>
      </c>
      <c r="F84" s="818"/>
      <c r="G84" s="819"/>
      <c r="H84" s="167" t="str">
        <f t="shared" si="15"/>
        <v/>
      </c>
      <c r="I84" s="321" t="str">
        <f t="shared" si="45"/>
        <v/>
      </c>
      <c r="J84" s="944" t="str">
        <f>IF(F84="","",VLOOKUP(F84,'10. Condition and Temporal'!$B$6:$F$103,5,FALSE))</f>
        <v/>
      </c>
      <c r="K84" s="945"/>
      <c r="L84" s="298" t="str">
        <f t="shared" si="46"/>
        <v/>
      </c>
      <c r="M84" s="940" t="str">
        <f t="shared" si="47"/>
        <v/>
      </c>
      <c r="N84" s="941"/>
      <c r="O84" s="74"/>
      <c r="P84" s="12"/>
      <c r="R84" s="733"/>
      <c r="T84" s="181" t="str">
        <f t="shared" si="16"/>
        <v/>
      </c>
      <c r="U84" s="115" t="str">
        <f t="shared" si="48"/>
        <v/>
      </c>
      <c r="V84" s="116" t="str">
        <f t="shared" si="17"/>
        <v/>
      </c>
      <c r="W84" s="114" t="str">
        <f t="shared" si="17"/>
        <v/>
      </c>
      <c r="X84" s="93" t="str">
        <f t="shared" si="17"/>
        <v/>
      </c>
      <c r="Y84" s="347"/>
      <c r="Z84" s="347"/>
      <c r="AA84" s="347"/>
      <c r="AB84" s="94" t="str">
        <f t="shared" si="18"/>
        <v/>
      </c>
      <c r="AC84" s="118" t="str">
        <f t="shared" si="19"/>
        <v/>
      </c>
      <c r="AD84" s="116" t="str">
        <f t="shared" si="49"/>
        <v/>
      </c>
      <c r="AE84" s="183" t="str">
        <f t="shared" si="50"/>
        <v/>
      </c>
      <c r="AF84" s="114" t="str">
        <f t="shared" si="20"/>
        <v/>
      </c>
      <c r="AG84" s="115" t="str">
        <f>IF(D84="","",VLOOKUP(F84,'9. All Habitats + Multipliers'!$C$4:$K$102,5,FALSE))</f>
        <v/>
      </c>
      <c r="AH84" s="116" t="str">
        <f>IF(AG84="","",VLOOKUP(AG84,'11. Lists'!$B$47:$D$49,2,FALSE))</f>
        <v/>
      </c>
      <c r="AI84" s="115" t="str">
        <f t="shared" si="21"/>
        <v/>
      </c>
      <c r="AJ84" s="485" t="str">
        <f>IF(AI84="","",VLOOKUP(AI84,'11. Lists'!$F$47:$G$51,2,FALSE))</f>
        <v/>
      </c>
      <c r="AK84" s="486"/>
      <c r="AL84" s="486"/>
      <c r="AM84" s="486"/>
      <c r="AN84" s="485" t="str">
        <f t="shared" si="22"/>
        <v/>
      </c>
      <c r="AO84" s="117" t="str">
        <f>IF(AN84="","",VLOOKUP(AN84,'11. Lists'!$F$36:$H$38,2,FALSE))</f>
        <v/>
      </c>
      <c r="AP84" s="116" t="str">
        <f>IF(AN84="","",VLOOKUP(AN84,'11. Lists'!$F$36:$H$38,3,FALSE))</f>
        <v/>
      </c>
      <c r="AQ84" s="115" t="str">
        <f>IF(D84="","",IF(AX84="Distinctiveness","N/A",VLOOKUP(F84,'10. Condition and Temporal'!$B$6:$L$103,11,FALSE)))</f>
        <v/>
      </c>
      <c r="AR84" s="119" t="str">
        <f>IF(AQ84="","",IF(AQ84="N/A","1",VLOOKUP(AQ84,'11. Lists'!$I$47:$K$80,3,FALSE)))</f>
        <v/>
      </c>
      <c r="AS84" s="135" t="str">
        <f>IF(D84="","",IF(AX84="Condition","N/A",VLOOKUP(F84,'10. Condition and Temporal'!$B$6:$M$106,12,FALSE)))</f>
        <v/>
      </c>
      <c r="AT84" s="119" t="str">
        <f>IF(AS84="","",IF(AS84="N/A","1",VLOOKUP(AS84,'11. Lists'!$I$47:$K$80,3,FALSE)))</f>
        <v/>
      </c>
      <c r="AU84" s="118" t="str">
        <f>IF(D84="","",VLOOKUP(F84,'9. All Habitats + Multipliers'!$C$4:$K$102,8,FALSE))</f>
        <v/>
      </c>
      <c r="AV84" s="116" t="str">
        <f>IF(AU84="","",VLOOKUP(AU84,'11. Lists'!$J$35:$K$38,2,FALSE))</f>
        <v/>
      </c>
      <c r="AW84" s="115" t="str">
        <f>IF(D84="","",VLOOKUP(D84,'10. Condition and Temporal'!$B$6:$M$103,4,FALSE))</f>
        <v/>
      </c>
      <c r="AX84" s="467" t="str">
        <f t="shared" si="23"/>
        <v/>
      </c>
      <c r="AY84" s="490" t="str">
        <v>1</v>
      </c>
      <c r="AZ84" s="487"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8" t="str">
        <f t="shared" si="51"/>
        <v/>
      </c>
      <c r="BW84" s="95" t="s">
        <v>184</v>
      </c>
      <c r="BX84" s="95">
        <f>BT64</f>
        <v>0</v>
      </c>
    </row>
    <row r="85" spans="1:76" s="25" customFormat="1" ht="16.2" thickBot="1">
      <c r="B85" s="269">
        <v>20</v>
      </c>
      <c r="C85" s="139" t="str">
        <f t="shared" si="13"/>
        <v/>
      </c>
      <c r="D85" s="428" t="str">
        <f t="shared" si="44"/>
        <v/>
      </c>
      <c r="E85" s="171" t="str">
        <f t="shared" si="14"/>
        <v/>
      </c>
      <c r="F85" s="846"/>
      <c r="G85" s="847"/>
      <c r="H85" s="168" t="str">
        <f t="shared" si="15"/>
        <v/>
      </c>
      <c r="I85" s="432" t="str">
        <f t="shared" si="45"/>
        <v/>
      </c>
      <c r="J85" s="953" t="str">
        <f>IF(F85="","",VLOOKUP(F85,'10. Condition and Temporal'!$B$6:$F$103,5,FALSE))</f>
        <v/>
      </c>
      <c r="K85" s="954"/>
      <c r="L85" s="296" t="str">
        <f t="shared" si="46"/>
        <v/>
      </c>
      <c r="M85" s="955" t="str">
        <f t="shared" si="47"/>
        <v/>
      </c>
      <c r="N85" s="956"/>
      <c r="O85" s="75"/>
      <c r="P85" s="14"/>
      <c r="R85" s="733"/>
      <c r="T85" s="181" t="str">
        <f t="shared" si="16"/>
        <v/>
      </c>
      <c r="U85" s="115" t="str">
        <f t="shared" si="48"/>
        <v/>
      </c>
      <c r="V85" s="116" t="str">
        <f t="shared" si="17"/>
        <v/>
      </c>
      <c r="W85" s="114" t="str">
        <f t="shared" si="17"/>
        <v/>
      </c>
      <c r="X85" s="98" t="str">
        <f t="shared" si="17"/>
        <v/>
      </c>
      <c r="Y85" s="368"/>
      <c r="Z85" s="368"/>
      <c r="AA85" s="368"/>
      <c r="AB85" s="99" t="str">
        <f t="shared" si="18"/>
        <v/>
      </c>
      <c r="AC85" s="118" t="str">
        <f t="shared" si="19"/>
        <v/>
      </c>
      <c r="AD85" s="116" t="str">
        <f t="shared" si="49"/>
        <v/>
      </c>
      <c r="AE85" s="183" t="str">
        <f t="shared" si="50"/>
        <v/>
      </c>
      <c r="AF85" s="114" t="str">
        <f t="shared" si="20"/>
        <v/>
      </c>
      <c r="AG85" s="115" t="str">
        <f>IF(D85="","",VLOOKUP(F85,'9. All Habitats + Multipliers'!$C$4:$K$102,5,FALSE))</f>
        <v/>
      </c>
      <c r="AH85" s="116" t="str">
        <f>IF(AG85="","",VLOOKUP(AG85,'11. Lists'!$B$47:$D$49,2,FALSE))</f>
        <v/>
      </c>
      <c r="AI85" s="115" t="str">
        <f t="shared" si="21"/>
        <v/>
      </c>
      <c r="AJ85" s="485" t="str">
        <f>IF(AI85="","",VLOOKUP(AI85,'11. Lists'!$F$47:$G$51,2,FALSE))</f>
        <v/>
      </c>
      <c r="AK85" s="486"/>
      <c r="AL85" s="486"/>
      <c r="AM85" s="486"/>
      <c r="AN85" s="485" t="str">
        <f t="shared" si="22"/>
        <v/>
      </c>
      <c r="AO85" s="117" t="str">
        <f>IF(AN85="","",VLOOKUP(AN85,'11. Lists'!$F$36:$H$38,2,FALSE))</f>
        <v/>
      </c>
      <c r="AP85" s="116" t="str">
        <f>IF(AN85="","",VLOOKUP(AN85,'11. Lists'!$F$36:$H$38,3,FALSE))</f>
        <v/>
      </c>
      <c r="AQ85" s="115" t="str">
        <f>IF(D85="","",IF(AX85="Distinctiveness","N/A",VLOOKUP(F85,'10. Condition and Temporal'!$B$6:$L$103,11,FALSE)))</f>
        <v/>
      </c>
      <c r="AR85" s="119" t="str">
        <f>IF(AQ85="","",IF(AQ85="N/A","1",VLOOKUP(AQ85,'11. Lists'!$I$47:$K$80,3,FALSE)))</f>
        <v/>
      </c>
      <c r="AS85" s="135" t="str">
        <f>IF(D85="","",IF(AX85="Condition","N/A",VLOOKUP(F85,'10. Condition and Temporal'!$B$6:$M$106,12,FALSE)))</f>
        <v/>
      </c>
      <c r="AT85" s="119" t="str">
        <f>IF(AS85="","",IF(AS85="N/A","1",VLOOKUP(AS85,'11. Lists'!$I$47:$K$80,3,FALSE)))</f>
        <v/>
      </c>
      <c r="AU85" s="118" t="str">
        <f>IF(D85="","",VLOOKUP(F85,'9. All Habitats + Multipliers'!$C$4:$K$102,8,FALSE))</f>
        <v/>
      </c>
      <c r="AV85" s="116" t="str">
        <f>IF(AU85="","",VLOOKUP(AU85,'11. Lists'!$J$35:$K$38,2,FALSE))</f>
        <v/>
      </c>
      <c r="AW85" s="115" t="str">
        <f>IF(D85="","",VLOOKUP(D85,'10. Condition and Temporal'!$B$6:$M$103,4,FALSE))</f>
        <v/>
      </c>
      <c r="AX85" s="467" t="str">
        <f t="shared" si="23"/>
        <v/>
      </c>
      <c r="AY85" s="491" t="str">
        <v>1</v>
      </c>
      <c r="AZ85" s="487"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8" t="str">
        <f t="shared" si="51"/>
        <v/>
      </c>
      <c r="BW85" s="95" t="s">
        <v>185</v>
      </c>
      <c r="BX85" s="95">
        <f>BU64</f>
        <v>0</v>
      </c>
    </row>
    <row r="86" spans="1:76" s="25" customFormat="1" ht="15" thickBot="1">
      <c r="H86" s="272" t="s">
        <v>236</v>
      </c>
      <c r="I86" s="326">
        <f>SUM(I66:I85)</f>
        <v>0</v>
      </c>
      <c r="J86" s="422"/>
      <c r="L86" s="430">
        <f>SUM(L66:L85)</f>
        <v>0</v>
      </c>
      <c r="M86" s="828">
        <f>SUM(M66:N85)</f>
        <v>0</v>
      </c>
      <c r="N86" s="829"/>
      <c r="R86" s="733"/>
      <c r="AJ86" s="161"/>
      <c r="AK86" s="161"/>
      <c r="AL86" s="161"/>
      <c r="AM86" s="161"/>
      <c r="AN86" s="161"/>
    </row>
    <row r="87" spans="1:76" s="25" customFormat="1">
      <c r="C87" s="26"/>
      <c r="R87" s="733"/>
      <c r="AJ87" s="161"/>
      <c r="AK87" s="161"/>
      <c r="AL87" s="161"/>
      <c r="AM87" s="161"/>
      <c r="AN87" s="161"/>
    </row>
    <row r="88" spans="1:76" s="25" customFormat="1">
      <c r="R88" s="733"/>
      <c r="AJ88" s="161"/>
      <c r="AK88" s="161"/>
      <c r="AL88" s="161"/>
      <c r="AM88" s="161"/>
      <c r="AN88" s="161"/>
    </row>
    <row r="89" spans="1:76" s="25" customFormat="1" ht="19.2" customHeight="1">
      <c r="R89" s="733"/>
      <c r="AJ89" s="161"/>
      <c r="AK89" s="161"/>
      <c r="AL89" s="161"/>
      <c r="AM89" s="161"/>
      <c r="AN89" s="161"/>
    </row>
    <row r="90" spans="1:76" s="25" customFormat="1">
      <c r="R90" s="733"/>
      <c r="AJ90" s="161"/>
      <c r="AK90" s="161"/>
      <c r="AL90" s="161"/>
      <c r="AM90" s="161"/>
      <c r="AN90" s="161"/>
    </row>
    <row r="91" spans="1:76" s="25" customFormat="1">
      <c r="A91" s="799" t="s">
        <v>200</v>
      </c>
      <c r="B91" s="799"/>
      <c r="C91" s="799"/>
      <c r="D91" s="799"/>
      <c r="E91" s="799"/>
      <c r="F91" s="799"/>
      <c r="G91" s="799"/>
      <c r="H91" s="799"/>
      <c r="I91" s="799"/>
      <c r="J91" s="799"/>
      <c r="K91" s="799"/>
      <c r="L91" s="799"/>
      <c r="M91" s="799"/>
      <c r="N91" s="799"/>
      <c r="O91" s="799"/>
      <c r="P91" s="799"/>
      <c r="Q91" s="799"/>
      <c r="R91" s="733"/>
      <c r="AJ91" s="161"/>
      <c r="AK91" s="161"/>
      <c r="AL91" s="161"/>
      <c r="AM91" s="161"/>
      <c r="AN91" s="161"/>
    </row>
    <row r="92" spans="1:76" s="25" customFormat="1">
      <c r="A92" s="799"/>
      <c r="B92" s="799"/>
      <c r="C92" s="799"/>
      <c r="D92" s="799"/>
      <c r="E92" s="799"/>
      <c r="F92" s="799"/>
      <c r="G92" s="799"/>
      <c r="H92" s="799"/>
      <c r="I92" s="799"/>
      <c r="J92" s="799"/>
      <c r="K92" s="799"/>
      <c r="L92" s="799"/>
      <c r="M92" s="799"/>
      <c r="N92" s="799"/>
      <c r="O92" s="799"/>
      <c r="P92" s="799"/>
      <c r="Q92" s="799"/>
      <c r="R92" s="733"/>
      <c r="AJ92" s="161"/>
      <c r="AK92" s="161"/>
      <c r="AL92" s="161"/>
      <c r="AM92" s="161"/>
      <c r="AN92" s="161"/>
    </row>
    <row r="93" spans="1:76" s="25" customFormat="1">
      <c r="A93" s="799"/>
      <c r="B93" s="799"/>
      <c r="C93" s="799"/>
      <c r="D93" s="799"/>
      <c r="E93" s="799"/>
      <c r="F93" s="799"/>
      <c r="G93" s="799"/>
      <c r="H93" s="799"/>
      <c r="I93" s="799"/>
      <c r="J93" s="799"/>
      <c r="K93" s="799"/>
      <c r="L93" s="799"/>
      <c r="M93" s="799"/>
      <c r="N93" s="799"/>
      <c r="O93" s="799"/>
      <c r="P93" s="799"/>
      <c r="Q93" s="799"/>
      <c r="R93" s="733"/>
      <c r="AJ93" s="161"/>
      <c r="AK93" s="161"/>
      <c r="AL93" s="161"/>
      <c r="AM93" s="161"/>
      <c r="AN93" s="161"/>
    </row>
    <row r="94" spans="1:76" s="25" customFormat="1">
      <c r="R94" s="733"/>
      <c r="AJ94" s="161"/>
      <c r="AK94" s="161"/>
      <c r="AL94" s="161"/>
      <c r="AM94" s="161"/>
      <c r="AN94" s="161"/>
    </row>
    <row r="95" spans="1:76" s="25" customFormat="1" ht="21">
      <c r="C95" s="57" t="s">
        <v>201</v>
      </c>
      <c r="D95" s="26"/>
      <c r="E95" s="26"/>
      <c r="F95" s="26"/>
      <c r="G95" s="26"/>
      <c r="R95" s="733"/>
      <c r="AJ95" s="161"/>
      <c r="AK95" s="161"/>
      <c r="AL95" s="161"/>
      <c r="AM95" s="161"/>
      <c r="AN95" s="161"/>
    </row>
    <row r="96" spans="1:76" s="25" customFormat="1" ht="15" thickBot="1">
      <c r="R96" s="733"/>
      <c r="AJ96" s="161"/>
      <c r="AK96" s="161"/>
      <c r="AL96" s="161"/>
      <c r="AM96" s="161"/>
      <c r="AN96" s="161"/>
    </row>
    <row r="97" spans="3:40" s="25" customFormat="1" ht="36.6" customHeight="1" thickBot="1">
      <c r="C97" s="911" t="s">
        <v>241</v>
      </c>
      <c r="D97" s="913"/>
      <c r="E97" s="914" t="str" cm="1">
        <f t="array" aca="1" ref="E97" ca="1">IF(OR(I103:I106="No ▲"),"Error - Trading Rules Not Satisfied ▲","Trading Rules Satisfied ✓")</f>
        <v>Trading Rules Satisfied ✓</v>
      </c>
      <c r="F97" s="914"/>
      <c r="G97" s="914"/>
      <c r="H97" s="914"/>
      <c r="I97" s="915"/>
      <c r="J97" s="161">
        <f ca="1">IFERROR(FIND("Error",E97),0)</f>
        <v>0</v>
      </c>
      <c r="R97" s="733"/>
      <c r="AJ97" s="161"/>
      <c r="AK97" s="161"/>
      <c r="AL97" s="161"/>
      <c r="AM97" s="161"/>
      <c r="AN97" s="161"/>
    </row>
    <row r="98" spans="3:40" s="25" customFormat="1">
      <c r="R98" s="733"/>
      <c r="AJ98" s="161"/>
      <c r="AK98" s="161"/>
      <c r="AL98" s="161"/>
      <c r="AM98" s="161"/>
      <c r="AN98" s="161"/>
    </row>
    <row r="99" spans="3:40" s="25" customFormat="1" ht="21">
      <c r="C99" s="57" t="s">
        <v>204</v>
      </c>
      <c r="R99" s="733"/>
      <c r="AJ99" s="161"/>
      <c r="AK99" s="161"/>
      <c r="AL99" s="161"/>
      <c r="AM99" s="161"/>
      <c r="AN99" s="161"/>
    </row>
    <row r="100" spans="3:40" s="25" customFormat="1">
      <c r="R100" s="733"/>
      <c r="AJ100" s="161"/>
      <c r="AK100" s="161"/>
      <c r="AL100" s="161"/>
      <c r="AM100" s="161"/>
      <c r="AN100" s="161"/>
    </row>
    <row r="101" spans="3:40" s="25" customFormat="1" ht="15" thickBot="1">
      <c r="J101" s="438"/>
      <c r="R101" s="733"/>
      <c r="AJ101" s="161"/>
      <c r="AK101" s="161"/>
      <c r="AL101" s="161"/>
      <c r="AM101" s="161"/>
      <c r="AN101" s="161"/>
    </row>
    <row r="102" spans="3:40" s="25" customFormat="1" ht="40.5" customHeight="1" thickBot="1">
      <c r="C102" s="458" t="s">
        <v>142</v>
      </c>
      <c r="D102" s="448" t="s">
        <v>94</v>
      </c>
      <c r="E102" s="448" t="s">
        <v>267</v>
      </c>
      <c r="F102" s="448" t="s">
        <v>207</v>
      </c>
      <c r="G102" s="448" t="s">
        <v>208</v>
      </c>
      <c r="H102" s="448" t="s">
        <v>209</v>
      </c>
      <c r="I102" s="449" t="s">
        <v>210</v>
      </c>
      <c r="J102" s="439"/>
      <c r="R102" s="733"/>
      <c r="AJ102" s="161"/>
      <c r="AK102" s="161"/>
      <c r="AL102" s="161"/>
      <c r="AM102" s="161"/>
      <c r="AN102" s="161"/>
    </row>
    <row r="103" spans="3:40" s="25" customFormat="1" ht="30" customHeight="1">
      <c r="C103" s="925" t="s">
        <v>261</v>
      </c>
      <c r="D103" s="857" t="s">
        <v>224</v>
      </c>
      <c r="E103" s="450" t="s">
        <v>268</v>
      </c>
      <c r="F103" s="451">
        <f ca="1">SUMIF($D$11:$E$30, $E$103, $L$11:$L$30)</f>
        <v>0</v>
      </c>
      <c r="G103" s="451">
        <f>IF($I$59+$I$86+$P$1=0,0,SUMIF($D$39:$D$58,$E$103,$L$39:$N$58)+SUMIF($F$66:$G$85,$E$103,$L$66:$L$85)+SUMIF($D$11:$E$30,$E$103,$AE$11:$AE$30))</f>
        <v>0</v>
      </c>
      <c r="H103" s="451">
        <f ca="1">$G$103-$F$103</f>
        <v>0</v>
      </c>
      <c r="I103" s="918" t="str">
        <f ca="1">IF(AND($H$103&gt;=0, H104&gt;=0),"Yes ✓", "No ▲")</f>
        <v>Yes ✓</v>
      </c>
      <c r="J103" s="439"/>
      <c r="R103" s="733"/>
      <c r="AJ103" s="161"/>
      <c r="AK103" s="161"/>
      <c r="AL103" s="161"/>
      <c r="AM103" s="161"/>
      <c r="AN103" s="161"/>
    </row>
    <row r="104" spans="3:40" s="25" customFormat="1" ht="30" customHeight="1">
      <c r="C104" s="926"/>
      <c r="D104" s="848"/>
      <c r="E104" s="436" t="s">
        <v>269</v>
      </c>
      <c r="F104" s="437">
        <f ca="1">SUMIF($D$11:$E$30,$E$104,$L$11:$L$30)</f>
        <v>0</v>
      </c>
      <c r="G104" s="437">
        <f>IF($I$59+$I$86+$P$1=0,0,SUMIF($D$39:$D$58,$E$104,$L$39:$N$58)+SUMIF($F$66:$G$85,$E$104,$L$66:$L$85)+SUMIF($D$11:$E$30,$E$104,$AE$11:$AE$30))</f>
        <v>0</v>
      </c>
      <c r="H104" s="437">
        <f ca="1">$G$104-$F$104</f>
        <v>0</v>
      </c>
      <c r="I104" s="919"/>
      <c r="J104" s="439"/>
      <c r="R104" s="733"/>
      <c r="AJ104" s="161"/>
      <c r="AK104" s="161"/>
      <c r="AL104" s="161"/>
      <c r="AM104" s="161"/>
      <c r="AN104" s="161"/>
    </row>
    <row r="105" spans="3:40" s="25" customFormat="1" ht="30" customHeight="1" thickBot="1">
      <c r="C105" s="926"/>
      <c r="D105" s="850"/>
      <c r="E105" s="452" t="s">
        <v>247</v>
      </c>
      <c r="F105" s="453">
        <f ca="1">SUM(F103:F104)</f>
        <v>0</v>
      </c>
      <c r="G105" s="453">
        <f>SUM(G103:G104)</f>
        <v>0</v>
      </c>
      <c r="H105" s="453">
        <f ca="1">SUM($H$103:$H$104)</f>
        <v>0</v>
      </c>
      <c r="I105" s="920"/>
      <c r="J105" s="161">
        <f ca="1">IF($I$103= "No ▲",1,0)</f>
        <v>0</v>
      </c>
      <c r="R105" s="733"/>
      <c r="AJ105" s="161"/>
      <c r="AK105" s="161"/>
      <c r="AL105" s="161"/>
      <c r="AM105" s="161"/>
      <c r="AN105" s="161"/>
    </row>
    <row r="106" spans="3:40" s="25" customFormat="1" ht="30" customHeight="1" thickBot="1">
      <c r="C106" s="927"/>
      <c r="D106" s="454" t="s">
        <v>225</v>
      </c>
      <c r="E106" s="455" t="s">
        <v>270</v>
      </c>
      <c r="F106" s="456">
        <f ca="1">SUMIF($D$11:$E$30,$E$106,$L$11:$L$30)</f>
        <v>0</v>
      </c>
      <c r="G106" s="456">
        <f>IF($I$59+$I$86+$P$1=0,0,SUMIF($D$39:$D$58,$E$106,$L$39:$N$58)+SUMIF($F$66:$G$85,$E$106,$L$66:$L$85)+SUMIF($D$11:$E$30,$E$106,$AE$11:$AE$30))</f>
        <v>0</v>
      </c>
      <c r="H106" s="456">
        <f ca="1">$G$106-$F$106</f>
        <v>0</v>
      </c>
      <c r="I106" s="457" t="str">
        <f ca="1">IF($G$107&gt;=0,"Yes ✓", "No ▲")</f>
        <v>Yes ✓</v>
      </c>
      <c r="J106" s="161">
        <f ca="1">IF($I$106= "No ▲",1,0)</f>
        <v>0</v>
      </c>
      <c r="R106" s="733"/>
      <c r="AJ106" s="161"/>
      <c r="AK106" s="161"/>
      <c r="AL106" s="161"/>
      <c r="AM106" s="161"/>
      <c r="AN106" s="161"/>
    </row>
    <row r="107" spans="3:40" s="25" customFormat="1" ht="12" customHeight="1" thickBot="1">
      <c r="G107" s="442">
        <f ca="1">IF(H105&gt;0,($H$105+$H$106),H106)</f>
        <v>0</v>
      </c>
      <c r="J107" s="438"/>
      <c r="R107" s="733"/>
      <c r="AJ107" s="161"/>
      <c r="AK107" s="161"/>
      <c r="AL107" s="161"/>
      <c r="AM107" s="161"/>
      <c r="AN107" s="161"/>
    </row>
    <row r="108" spans="3:40" s="25" customFormat="1" ht="18">
      <c r="C108" s="696" t="s">
        <v>271</v>
      </c>
      <c r="D108" s="924"/>
      <c r="E108" s="924"/>
      <c r="F108" s="924"/>
      <c r="G108" s="445">
        <f ca="1">$H$105</f>
        <v>0</v>
      </c>
      <c r="H108" s="439"/>
      <c r="J108" s="438"/>
      <c r="R108" s="733"/>
      <c r="AJ108" s="161"/>
      <c r="AK108" s="161"/>
      <c r="AL108" s="161"/>
      <c r="AM108" s="161"/>
      <c r="AN108" s="161"/>
    </row>
    <row r="109" spans="3:40" s="25" customFormat="1" ht="18.600000000000001" thickBot="1">
      <c r="C109" s="850" t="s">
        <v>272</v>
      </c>
      <c r="D109" s="628"/>
      <c r="E109" s="628"/>
      <c r="F109" s="628"/>
      <c r="G109" s="446">
        <f ca="1">IF($H$105&lt;=0,$H$106,($H$106+$H$105))</f>
        <v>0</v>
      </c>
      <c r="R109" s="733"/>
      <c r="AJ109" s="161"/>
      <c r="AK109" s="161"/>
      <c r="AL109" s="161"/>
      <c r="AM109" s="161"/>
      <c r="AN109" s="161"/>
    </row>
    <row r="110" spans="3:40" s="25" customFormat="1">
      <c r="R110" s="733"/>
      <c r="AJ110" s="161"/>
      <c r="AK110" s="161"/>
      <c r="AL110" s="161"/>
      <c r="AM110" s="161"/>
      <c r="AN110" s="161"/>
    </row>
    <row r="111" spans="3:40" s="25" customFormat="1">
      <c r="R111" s="733"/>
      <c r="AJ111" s="161"/>
      <c r="AK111" s="161"/>
      <c r="AL111" s="161"/>
      <c r="AM111" s="161"/>
      <c r="AN111" s="161"/>
    </row>
    <row r="112" spans="3:40" s="25" customFormat="1">
      <c r="R112" s="733"/>
      <c r="AJ112" s="161"/>
      <c r="AK112" s="161"/>
      <c r="AL112" s="161"/>
      <c r="AM112" s="161"/>
      <c r="AN112" s="161"/>
    </row>
    <row r="113" spans="18:40" s="25" customFormat="1">
      <c r="R113" s="733"/>
      <c r="AJ113" s="161"/>
      <c r="AK113" s="161"/>
      <c r="AL113" s="161"/>
      <c r="AM113" s="161"/>
      <c r="AN113" s="161"/>
    </row>
    <row r="114" spans="18:40" s="25" customFormat="1">
      <c r="R114" s="733"/>
      <c r="AJ114" s="161"/>
      <c r="AK114" s="161"/>
      <c r="AL114" s="161"/>
      <c r="AM114" s="161"/>
      <c r="AN114" s="161"/>
    </row>
    <row r="115" spans="18:40" s="25" customFormat="1">
      <c r="R115" s="733"/>
      <c r="AJ115" s="161"/>
      <c r="AK115" s="161"/>
      <c r="AL115" s="161"/>
      <c r="AM115" s="161"/>
      <c r="AN115" s="161"/>
    </row>
    <row r="116" spans="18:40" s="25" customFormat="1">
      <c r="R116" s="733"/>
      <c r="AJ116" s="161"/>
      <c r="AK116" s="161"/>
      <c r="AL116" s="161"/>
      <c r="AM116" s="161"/>
      <c r="AN116" s="161"/>
    </row>
    <row r="117" spans="18:40" s="25" customFormat="1">
      <c r="R117" s="733"/>
      <c r="AJ117" s="161"/>
      <c r="AK117" s="161"/>
      <c r="AL117" s="161"/>
      <c r="AM117" s="161"/>
      <c r="AN117" s="161"/>
    </row>
    <row r="118" spans="18:40" s="25" customFormat="1">
      <c r="R118" s="733"/>
      <c r="AJ118" s="161"/>
      <c r="AK118" s="161"/>
      <c r="AL118" s="161"/>
      <c r="AM118" s="161"/>
      <c r="AN118" s="161"/>
    </row>
    <row r="119" spans="18:40" s="25" customFormat="1">
      <c r="R119" s="733"/>
      <c r="AJ119" s="161"/>
      <c r="AK119" s="161"/>
      <c r="AL119" s="161"/>
      <c r="AM119" s="161"/>
      <c r="AN119" s="161"/>
    </row>
    <row r="120" spans="18:40" s="25" customFormat="1">
      <c r="R120" s="733"/>
      <c r="AJ120" s="161"/>
      <c r="AK120" s="161"/>
      <c r="AL120" s="161"/>
      <c r="AM120" s="161"/>
      <c r="AN120" s="161"/>
    </row>
    <row r="121" spans="18:40" s="25" customFormat="1">
      <c r="R121" s="733"/>
      <c r="AJ121" s="161"/>
      <c r="AK121" s="161"/>
      <c r="AL121" s="161"/>
      <c r="AM121" s="161"/>
      <c r="AN121" s="161"/>
    </row>
    <row r="122" spans="18:40" s="25" customFormat="1">
      <c r="R122" s="733"/>
      <c r="AJ122" s="161"/>
      <c r="AK122" s="161"/>
      <c r="AL122" s="161"/>
      <c r="AM122" s="161"/>
      <c r="AN122" s="161"/>
    </row>
    <row r="123" spans="18:40" s="25" customFormat="1">
      <c r="R123" s="733"/>
      <c r="AJ123" s="161"/>
      <c r="AK123" s="161"/>
      <c r="AL123" s="161"/>
      <c r="AM123" s="161"/>
      <c r="AN123" s="161"/>
    </row>
    <row r="124" spans="18:40" s="25" customFormat="1">
      <c r="R124" s="733"/>
      <c r="AJ124" s="161"/>
      <c r="AK124" s="161"/>
      <c r="AL124" s="161"/>
      <c r="AM124" s="161"/>
      <c r="AN124" s="161"/>
    </row>
    <row r="125" spans="18:40" s="25" customFormat="1">
      <c r="R125" s="733"/>
      <c r="AJ125" s="161"/>
      <c r="AK125" s="161"/>
      <c r="AL125" s="161"/>
      <c r="AM125" s="161"/>
      <c r="AN125" s="161"/>
    </row>
    <row r="126" spans="18:40" s="25" customFormat="1">
      <c r="R126" s="733"/>
      <c r="AJ126" s="161"/>
      <c r="AK126" s="161"/>
      <c r="AL126" s="161"/>
      <c r="AM126" s="161"/>
      <c r="AN126" s="161"/>
    </row>
    <row r="127" spans="18:40" s="25" customFormat="1">
      <c r="R127" s="733"/>
      <c r="AJ127" s="161"/>
      <c r="AK127" s="161"/>
      <c r="AL127" s="161"/>
      <c r="AM127" s="161"/>
      <c r="AN127" s="161"/>
    </row>
    <row r="128" spans="18:40" s="25" customFormat="1">
      <c r="R128" s="733"/>
      <c r="AJ128" s="161"/>
      <c r="AK128" s="161"/>
      <c r="AL128" s="161"/>
      <c r="AM128" s="161"/>
      <c r="AN128" s="161"/>
    </row>
    <row r="129" spans="18:40" s="25" customFormat="1">
      <c r="R129" s="733"/>
      <c r="AJ129" s="161"/>
      <c r="AK129" s="161"/>
      <c r="AL129" s="161"/>
      <c r="AM129" s="161"/>
      <c r="AN129" s="161"/>
    </row>
    <row r="130" spans="18:40" s="25" customFormat="1">
      <c r="R130" s="733"/>
      <c r="AJ130" s="161"/>
      <c r="AK130" s="161"/>
      <c r="AL130" s="161"/>
      <c r="AM130" s="161"/>
      <c r="AN130" s="161"/>
    </row>
    <row r="131" spans="18:40"/>
    <row r="132" spans="18:40"/>
    <row r="133" spans="18:40"/>
    <row r="134" spans="18:40"/>
    <row r="135" spans="18:40"/>
    <row r="136" spans="18:40"/>
    <row r="137" spans="18:40"/>
    <row r="138" spans="18:40"/>
    <row r="139" spans="18:40"/>
    <row r="140" spans="18:40"/>
  </sheetData>
  <sheetProtection algorithmName="SHA-512" hashValue="1JoYOSV7sLaVIDae8VjKdYOA77BzY7XVw1XSFHdYYBO610uF5GmLvl0/Od66d+IGXGX9IIgGcvh7ayGppNVJwQ==" saltValue="1nRNyw+wehPhDY/5tOUpP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formula1>INDIRECT(SUBSTITUTE(C11," ",""))</formula1>
    </dataValidation>
    <dataValidation type="list" allowBlank="1" showInputMessage="1" showErrorMessage="1" sqref="F66:G8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'11. Lists'!$F$36:$F$37</xm:f>
          </x14:formula1>
          <xm:sqref>H66:H85 F11:H30 H39:H58</xm:sqref>
        </x14:dataValidation>
        <x14:dataValidation type="list" allowBlank="1" showInputMessage="1" showErrorMessage="1">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pageSetUpPr fitToPage="1"/>
  </sheetPr>
  <dimension ref="A1:AF74"/>
  <sheetViews>
    <sheetView tabSelected="1" topLeftCell="A34" zoomScale="80" zoomScaleNormal="80" workbookViewId="0">
      <selection activeCell="D27" sqref="D27:E29"/>
    </sheetView>
  </sheetViews>
  <sheetFormatPr defaultColWidth="0" defaultRowHeight="15.6" zeroHeight="1"/>
  <cols>
    <col min="1" max="1" width="14.21875" customWidth="1"/>
    <col min="2" max="2" width="30.5546875" customWidth="1"/>
    <col min="3" max="3" width="45.21875" customWidth="1"/>
    <col min="4" max="4" width="76.44140625" customWidth="1"/>
    <col min="5" max="5" width="13" bestFit="1" customWidth="1"/>
    <col min="6" max="6" width="19.5546875" style="503" customWidth="1"/>
    <col min="7" max="7" width="29.21875" hidden="1" customWidth="1"/>
    <col min="8" max="9" width="10.77734375" hidden="1" customWidth="1"/>
    <col min="10" max="10" width="15" hidden="1" customWidth="1"/>
    <col min="11" max="11" width="10.21875" hidden="1" customWidth="1"/>
    <col min="12" max="16" width="8.77734375" hidden="1" customWidth="1"/>
    <col min="17" max="17" width="11.5546875" hidden="1" customWidth="1"/>
    <col min="18" max="18" width="8.77734375" hidden="1" customWidth="1"/>
    <col min="19" max="19" width="11.21875" hidden="1" customWidth="1"/>
    <col min="20" max="24" width="8.77734375" hidden="1" customWidth="1"/>
    <col min="25" max="32" width="0" hidden="1" customWidth="1"/>
    <col min="33" max="16384" width="8.77734375" hidden="1"/>
  </cols>
  <sheetData>
    <row r="1" spans="1:24" ht="16.2" thickBot="1">
      <c r="A1" s="25"/>
      <c r="B1" s="25"/>
      <c r="C1" s="25"/>
      <c r="D1" s="25"/>
      <c r="E1" s="25"/>
      <c r="F1" s="498"/>
      <c r="G1" s="25"/>
      <c r="H1" s="25"/>
      <c r="I1" s="25"/>
      <c r="J1" s="25"/>
      <c r="K1" s="25"/>
      <c r="L1" s="25"/>
      <c r="M1" s="25"/>
      <c r="N1" s="25"/>
      <c r="O1" s="25"/>
      <c r="P1" s="25"/>
      <c r="Q1" s="25"/>
      <c r="R1" s="25"/>
      <c r="S1" s="25"/>
      <c r="T1" s="25"/>
      <c r="U1" s="25"/>
      <c r="V1" s="25"/>
      <c r="W1" s="25"/>
      <c r="X1" s="25"/>
    </row>
    <row r="2" spans="1:24" ht="24.6" customHeight="1">
      <c r="A2" s="25"/>
      <c r="B2" s="640" t="s">
        <v>65</v>
      </c>
      <c r="C2" s="641"/>
      <c r="D2" s="630" t="str">
        <f>IF('2. Site Details'!D4="","Enter site name on 2. Site Details",'2. Site Details'!D4)</f>
        <v>Lantern Courtyard, The Barn, The Street, Bramley, RG26 5DE</v>
      </c>
      <c r="E2" s="631"/>
      <c r="F2" s="505"/>
      <c r="G2" s="52"/>
      <c r="H2" s="52"/>
      <c r="I2" s="52"/>
      <c r="J2" s="52"/>
      <c r="K2" s="52"/>
      <c r="L2" s="52"/>
      <c r="M2" s="52"/>
      <c r="N2" s="52"/>
      <c r="O2" s="52"/>
      <c r="P2" s="52"/>
      <c r="Q2" s="52"/>
      <c r="R2" s="52"/>
      <c r="S2" s="52"/>
      <c r="T2" s="52"/>
      <c r="U2" s="52"/>
      <c r="V2" s="52"/>
      <c r="W2" s="52"/>
      <c r="X2" s="25"/>
    </row>
    <row r="3" spans="1:24" ht="24.6" customHeight="1" thickBot="1">
      <c r="A3" s="25"/>
      <c r="B3" s="636" t="s">
        <v>16</v>
      </c>
      <c r="C3" s="637"/>
      <c r="D3" s="628" t="s">
        <v>273</v>
      </c>
      <c r="E3" s="629"/>
      <c r="F3" s="499"/>
      <c r="G3" s="52"/>
      <c r="H3" s="977"/>
      <c r="I3" s="977"/>
      <c r="J3" s="977"/>
      <c r="K3" s="977"/>
      <c r="L3" s="977"/>
      <c r="M3" s="977"/>
      <c r="N3" s="977"/>
      <c r="O3" s="977"/>
      <c r="P3" s="52"/>
      <c r="Q3" s="52"/>
      <c r="R3" s="52"/>
      <c r="S3" s="52"/>
      <c r="T3" s="52"/>
      <c r="U3" s="52"/>
      <c r="V3" s="52"/>
      <c r="W3" s="52"/>
      <c r="X3" s="25"/>
    </row>
    <row r="4" spans="1:24" ht="34.200000000000003" customHeight="1" thickBot="1">
      <c r="A4" s="25"/>
      <c r="B4" s="56" t="s">
        <v>273</v>
      </c>
      <c r="C4" s="25"/>
      <c r="D4" s="25"/>
      <c r="E4" s="25"/>
      <c r="F4" s="499"/>
      <c r="G4" s="52"/>
      <c r="H4" s="52"/>
      <c r="I4" s="52"/>
      <c r="J4" s="52"/>
      <c r="K4" s="52"/>
      <c r="L4" s="52"/>
      <c r="M4" s="52"/>
      <c r="N4" s="52"/>
      <c r="O4" s="52"/>
      <c r="P4" s="52"/>
      <c r="Q4" s="52"/>
      <c r="R4" s="52"/>
      <c r="S4" s="52"/>
      <c r="T4" s="52"/>
      <c r="U4" s="52"/>
      <c r="V4" s="52"/>
      <c r="W4" s="52"/>
      <c r="X4" s="25"/>
    </row>
    <row r="5" spans="1:24" ht="24.6" customHeight="1" thickBot="1">
      <c r="A5" s="25"/>
      <c r="B5" s="611" t="s">
        <v>274</v>
      </c>
      <c r="C5" s="989"/>
      <c r="D5" s="999" t="str">
        <f>IF(OR(D27&gt;0,D28&gt;0,D29&gt;0),"BNG Targets Not Met ▲","BNG Targets Met ✓")</f>
        <v>BNG Targets Not Met ▲</v>
      </c>
      <c r="E5" s="915"/>
      <c r="F5" s="499"/>
      <c r="G5" s="52"/>
      <c r="H5" s="52"/>
      <c r="I5" s="52"/>
      <c r="J5" s="52"/>
      <c r="K5" s="52"/>
      <c r="L5" s="52"/>
      <c r="M5" s="52"/>
      <c r="N5" s="52"/>
      <c r="O5" s="52"/>
      <c r="P5" s="52"/>
      <c r="Q5" s="52"/>
      <c r="R5" s="52"/>
      <c r="S5" s="52"/>
      <c r="T5" s="52"/>
      <c r="U5" s="52"/>
      <c r="V5" s="52"/>
      <c r="W5" s="52"/>
      <c r="X5" s="25"/>
    </row>
    <row r="6" spans="1:24" ht="24.6" customHeight="1" thickBot="1">
      <c r="A6" s="25"/>
      <c r="B6" s="25"/>
      <c r="C6" s="25"/>
      <c r="D6" s="169"/>
      <c r="E6" s="169"/>
      <c r="F6" s="499"/>
      <c r="G6" s="52"/>
      <c r="H6" s="52"/>
      <c r="I6" s="52"/>
      <c r="J6" s="52"/>
      <c r="K6" s="52"/>
      <c r="L6" s="52"/>
      <c r="M6" s="52"/>
      <c r="N6" s="52"/>
      <c r="O6" s="52"/>
      <c r="P6" s="52"/>
      <c r="Q6" s="52"/>
      <c r="R6" s="52"/>
      <c r="S6" s="52"/>
      <c r="T6" s="52"/>
      <c r="U6" s="52"/>
      <c r="V6" s="52"/>
      <c r="W6" s="52"/>
      <c r="X6" s="25"/>
    </row>
    <row r="7" spans="1:24" ht="24.6" customHeight="1" thickBot="1">
      <c r="A7" s="25"/>
      <c r="B7" s="611" t="s">
        <v>275</v>
      </c>
      <c r="C7" s="612"/>
      <c r="D7" s="996" t="str">
        <f ca="1">IF('5. Area Habitats'!J108+'5. Area Habitats'!J109+'6. Hedges &amp; Lines of Trees'!J97+'7. Watercourses'!J97&gt;0,"Trading Rules Not Satisfied ▲","Trading Rules Satisfied ✓")</f>
        <v>Trading Rules Not Satisfied ▲</v>
      </c>
      <c r="E7" s="997"/>
      <c r="F7" s="506"/>
      <c r="G7" s="387"/>
      <c r="H7" s="388"/>
      <c r="I7" s="389"/>
      <c r="J7" s="52"/>
      <c r="K7" s="52"/>
      <c r="L7" s="52"/>
      <c r="M7" s="52"/>
      <c r="N7" s="52"/>
      <c r="O7" s="52"/>
      <c r="P7" s="52"/>
      <c r="Q7" s="52"/>
      <c r="R7" s="52"/>
      <c r="S7" s="52"/>
      <c r="T7" s="52"/>
      <c r="U7" s="52"/>
      <c r="V7" s="52"/>
      <c r="W7" s="52"/>
      <c r="X7" s="25"/>
    </row>
    <row r="8" spans="1:24" ht="24.6" customHeight="1" thickBot="1">
      <c r="A8" s="25"/>
      <c r="B8" s="25"/>
      <c r="C8" s="25"/>
      <c r="D8" s="169"/>
      <c r="E8" s="169"/>
      <c r="F8" s="506"/>
      <c r="G8" s="52"/>
      <c r="H8" s="52"/>
      <c r="I8" s="52"/>
      <c r="J8" s="52"/>
      <c r="K8" s="52"/>
      <c r="L8" s="52"/>
      <c r="M8" s="52"/>
      <c r="N8" s="52"/>
      <c r="O8" s="52"/>
      <c r="P8" s="52"/>
      <c r="Q8" s="52"/>
      <c r="R8" s="52"/>
      <c r="S8" s="52"/>
      <c r="T8" s="52"/>
      <c r="U8" s="52"/>
      <c r="V8" s="52"/>
      <c r="W8" s="52"/>
      <c r="X8" s="25"/>
    </row>
    <row r="9" spans="1:24" ht="24.6" customHeight="1" thickBot="1">
      <c r="A9" s="25"/>
      <c r="B9" s="611" t="s">
        <v>276</v>
      </c>
      <c r="C9" s="989"/>
      <c r="D9" s="1000" t="str">
        <f ca="1">IF(OR(D5="BNG Targets Not Met ▲",D7="Trading Rules Not Satisfied ▲"),"Scheme alterations or offsite units required","Check for input errors/rule breaks present in the metric ⚠")</f>
        <v>Scheme alterations or offsite units required</v>
      </c>
      <c r="E9" s="1001"/>
      <c r="F9" s="499"/>
      <c r="G9" s="29"/>
      <c r="H9" s="29"/>
      <c r="I9" s="29"/>
      <c r="J9" s="29"/>
      <c r="K9" s="29"/>
      <c r="L9" s="29"/>
      <c r="M9" s="29"/>
      <c r="N9" s="29"/>
      <c r="O9" s="29"/>
      <c r="P9" s="29"/>
      <c r="Q9" s="54"/>
      <c r="R9" s="29"/>
      <c r="S9" s="52"/>
      <c r="T9" s="52"/>
      <c r="U9" s="52"/>
      <c r="V9" s="52"/>
      <c r="W9" s="52"/>
      <c r="X9" s="25"/>
    </row>
    <row r="10" spans="1:24" ht="43.5" customHeight="1" thickBot="1">
      <c r="A10" s="25"/>
      <c r="B10" s="25"/>
      <c r="C10" s="25"/>
      <c r="D10" s="998"/>
      <c r="E10" s="998"/>
      <c r="F10" s="499" t="s">
        <v>277</v>
      </c>
      <c r="G10" s="29"/>
      <c r="H10" s="29"/>
      <c r="I10" s="29"/>
      <c r="J10" s="29"/>
      <c r="K10" s="29"/>
      <c r="L10" s="29"/>
      <c r="M10" s="29"/>
      <c r="N10" s="29"/>
      <c r="O10" s="29"/>
      <c r="P10" s="29"/>
      <c r="Q10" s="54"/>
      <c r="R10" s="29"/>
      <c r="S10" s="52"/>
      <c r="T10" s="52"/>
      <c r="U10" s="52"/>
      <c r="V10" s="52"/>
      <c r="W10" s="52"/>
      <c r="X10" s="25"/>
    </row>
    <row r="11" spans="1:24" ht="24.6" customHeight="1">
      <c r="A11" s="25"/>
      <c r="B11" s="980" t="s">
        <v>278</v>
      </c>
      <c r="C11" s="277" t="s">
        <v>279</v>
      </c>
      <c r="D11" s="492" t="str">
        <f>IF('5. Area Habitats'!L32=0,"Zero Units Baseline",'5. Area Habitats'!L32)</f>
        <v>Zero Units Baseline</v>
      </c>
      <c r="E11" s="493"/>
      <c r="F11" s="499" t="e">
        <f>('2. Site Details'!$D$13/100)*$D$11</f>
        <v>#VALUE!</v>
      </c>
      <c r="G11" s="383"/>
      <c r="H11" s="29"/>
      <c r="I11" s="29"/>
      <c r="J11" s="29"/>
      <c r="K11" s="29"/>
      <c r="L11" s="29"/>
      <c r="M11" s="29"/>
      <c r="N11" s="29"/>
      <c r="O11" s="29"/>
      <c r="P11" s="29"/>
      <c r="Q11" s="54"/>
      <c r="R11" s="29"/>
      <c r="S11" s="52"/>
      <c r="T11" s="52"/>
      <c r="U11" s="52"/>
      <c r="V11" s="52"/>
      <c r="W11" s="52"/>
      <c r="X11" s="25"/>
    </row>
    <row r="12" spans="1:24" ht="24.6" customHeight="1">
      <c r="A12" s="25"/>
      <c r="B12" s="981"/>
      <c r="C12" s="278" t="s">
        <v>280</v>
      </c>
      <c r="D12" s="494">
        <f>IF('6. Hedges &amp; Lines of Trees'!L31=0,"Zero Units Baseline",'6. Hedges &amp; Lines of Trees'!L31)</f>
        <v>0.04</v>
      </c>
      <c r="E12" s="495"/>
      <c r="F12" s="499">
        <f>('2. Site Details'!$D$14/100)*$D$12</f>
        <v>4.0000000000000001E-3</v>
      </c>
      <c r="G12" s="384"/>
      <c r="H12" s="29"/>
      <c r="I12" s="29"/>
      <c r="J12" s="29"/>
      <c r="K12" s="29"/>
      <c r="L12" s="29"/>
      <c r="M12" s="29"/>
      <c r="N12" s="29"/>
      <c r="O12" s="29"/>
      <c r="P12" s="29"/>
      <c r="Q12" s="54"/>
      <c r="R12" s="29"/>
      <c r="S12" s="52"/>
      <c r="T12" s="52"/>
      <c r="U12" s="52"/>
      <c r="V12" s="52"/>
      <c r="W12" s="52"/>
      <c r="X12" s="25"/>
    </row>
    <row r="13" spans="1:24" ht="24.6" customHeight="1" thickBot="1">
      <c r="A13" s="25"/>
      <c r="B13" s="982"/>
      <c r="C13" s="279" t="s">
        <v>281</v>
      </c>
      <c r="D13" s="496" t="str">
        <f>IF('7. Watercourses'!L31=0,"Zero Units Baseline",'7. Watercourses'!L31)</f>
        <v>Zero Units Baseline</v>
      </c>
      <c r="E13" s="497"/>
      <c r="F13" s="499" t="e">
        <f>('2. Site Details'!$D$15/100)*$D$13</f>
        <v>#VALUE!</v>
      </c>
      <c r="G13" s="385"/>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9"/>
      <c r="E14" s="169"/>
      <c r="F14" s="499" t="s">
        <v>282</v>
      </c>
      <c r="G14" s="29"/>
      <c r="H14" s="29"/>
      <c r="I14" s="29"/>
      <c r="J14" s="29"/>
      <c r="K14" s="29"/>
      <c r="L14" s="29"/>
      <c r="M14" s="29"/>
      <c r="N14" s="29"/>
      <c r="O14" s="29"/>
      <c r="P14" s="29"/>
      <c r="Q14" s="54"/>
      <c r="R14" s="29"/>
      <c r="S14" s="52"/>
      <c r="T14" s="52"/>
      <c r="U14" s="52"/>
      <c r="V14" s="52"/>
      <c r="W14" s="52"/>
      <c r="X14" s="25"/>
    </row>
    <row r="15" spans="1:24" ht="24.6" customHeight="1">
      <c r="A15" s="25"/>
      <c r="B15" s="980" t="s">
        <v>283</v>
      </c>
      <c r="C15" s="277" t="s">
        <v>279</v>
      </c>
      <c r="D15" s="492">
        <f>'5. Area Habitats'!P3+'5. Area Habitats'!P4+'5. Area Habitats'!P1</f>
        <v>0</v>
      </c>
      <c r="E15" s="493"/>
      <c r="F15" s="500" t="e">
        <f>D11+F11</f>
        <v>#VALUE!</v>
      </c>
      <c r="G15" s="29"/>
      <c r="H15" s="29"/>
      <c r="I15" s="29"/>
      <c r="J15" s="29"/>
      <c r="K15" s="29"/>
      <c r="L15" s="29"/>
      <c r="M15" s="29"/>
      <c r="N15" s="29"/>
      <c r="O15" s="29"/>
      <c r="P15" s="29"/>
      <c r="Q15" s="54"/>
      <c r="R15" s="29"/>
      <c r="S15" s="52"/>
      <c r="T15" s="52"/>
      <c r="U15" s="52"/>
      <c r="V15" s="52"/>
      <c r="W15" s="52"/>
      <c r="X15" s="25"/>
    </row>
    <row r="16" spans="1:24" ht="24.6" customHeight="1">
      <c r="A16" s="25"/>
      <c r="B16" s="981"/>
      <c r="C16" s="278" t="s">
        <v>280</v>
      </c>
      <c r="D16" s="494">
        <f>'6. Hedges &amp; Lines of Trees'!P3+'6. Hedges &amp; Lines of Trees'!P4+'6. Hedges &amp; Lines of Trees'!P1</f>
        <v>0</v>
      </c>
      <c r="E16" s="495"/>
      <c r="F16" s="500">
        <f>D12+F12</f>
        <v>4.3999999999999997E-2</v>
      </c>
      <c r="G16" s="29"/>
      <c r="H16" s="29"/>
      <c r="I16" s="29"/>
      <c r="J16" s="29"/>
      <c r="K16" s="29"/>
      <c r="L16" s="29"/>
      <c r="M16" s="29"/>
      <c r="N16" s="29"/>
      <c r="O16" s="29"/>
      <c r="P16" s="29"/>
      <c r="Q16" s="54"/>
      <c r="R16" s="29"/>
      <c r="S16" s="52"/>
      <c r="T16" s="52"/>
      <c r="U16" s="52"/>
      <c r="V16" s="52"/>
      <c r="W16" s="52"/>
      <c r="X16" s="25"/>
    </row>
    <row r="17" spans="1:24" ht="24.6" customHeight="1" thickBot="1">
      <c r="A17" s="25"/>
      <c r="B17" s="982"/>
      <c r="C17" s="279" t="s">
        <v>281</v>
      </c>
      <c r="D17" s="496">
        <f>'7. Watercourses'!P3+'7. Watercourses'!P4+'7. Watercourses'!P1</f>
        <v>0</v>
      </c>
      <c r="E17" s="497"/>
      <c r="F17" s="500"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9"/>
      <c r="E18" s="169"/>
      <c r="F18" s="499"/>
      <c r="G18" s="29"/>
      <c r="H18" s="29"/>
      <c r="I18" s="29"/>
      <c r="J18" s="29"/>
      <c r="K18" s="29"/>
      <c r="L18" s="29"/>
      <c r="M18" s="29"/>
      <c r="N18" s="29"/>
      <c r="O18" s="29"/>
      <c r="P18" s="29"/>
      <c r="Q18" s="54"/>
      <c r="R18" s="29"/>
      <c r="S18" s="52"/>
      <c r="T18" s="52"/>
      <c r="U18" s="52"/>
      <c r="V18" s="52"/>
      <c r="W18" s="52"/>
      <c r="X18" s="25"/>
    </row>
    <row r="19" spans="1:24" ht="24.6" customHeight="1">
      <c r="A19" s="25"/>
      <c r="B19" s="980" t="s">
        <v>284</v>
      </c>
      <c r="C19" s="537" t="s">
        <v>279</v>
      </c>
      <c r="D19" s="542">
        <f>'5. Area Habitats'!P5</f>
        <v>0</v>
      </c>
      <c r="E19" s="543" t="e" cm="1">
        <f t="array" aca="1" ref="E19" ca="1">_xlfn.IFS(D19&gt;=F11,"✓",D19&lt;0,"▲", D19&lt;F11,"⚠")</f>
        <v>#NAME?</v>
      </c>
      <c r="F19" s="501" t="e">
        <f>F11/D11</f>
        <v>#VALUE!</v>
      </c>
      <c r="G19" s="29"/>
      <c r="H19" s="29"/>
      <c r="I19" s="29"/>
      <c r="J19" s="29"/>
      <c r="K19" s="29"/>
      <c r="L19" s="29"/>
      <c r="M19" s="29"/>
      <c r="N19" s="29"/>
      <c r="O19" s="29"/>
      <c r="P19" s="29"/>
      <c r="Q19" s="54"/>
      <c r="R19" s="29"/>
      <c r="S19" s="52"/>
      <c r="T19" s="52"/>
      <c r="U19" s="52"/>
      <c r="V19" s="52"/>
      <c r="W19" s="52"/>
      <c r="X19" s="25"/>
    </row>
    <row r="20" spans="1:24" ht="24.6" customHeight="1">
      <c r="A20" s="25"/>
      <c r="B20" s="981"/>
      <c r="C20" s="538" t="s">
        <v>280</v>
      </c>
      <c r="D20" s="544">
        <f>'6. Hedges &amp; Lines of Trees'!P5</f>
        <v>-0.04</v>
      </c>
      <c r="E20" s="545" t="e" cm="1">
        <f t="array" aca="1" ref="E20" ca="1">_xlfn.IFS(D20&gt;=F12,"✓",D20&lt;0,"▲", D20&lt;F12,"⚠")</f>
        <v>#NAME?</v>
      </c>
      <c r="F20" s="501">
        <f t="shared" ref="F20:F21" si="0">F12/D12</f>
        <v>0.1</v>
      </c>
      <c r="G20" s="29"/>
      <c r="H20" s="29"/>
      <c r="I20" s="29"/>
      <c r="J20" s="29"/>
      <c r="K20" s="29"/>
      <c r="L20" s="29"/>
      <c r="M20" s="29"/>
      <c r="N20" s="29"/>
      <c r="O20" s="29"/>
      <c r="P20" s="29"/>
      <c r="Q20" s="54"/>
      <c r="R20" s="29"/>
      <c r="S20" s="52"/>
      <c r="T20" s="52"/>
      <c r="U20" s="52"/>
      <c r="V20" s="52"/>
      <c r="W20" s="52"/>
      <c r="X20" s="25"/>
    </row>
    <row r="21" spans="1:24" ht="24.6" customHeight="1" thickBot="1">
      <c r="A21" s="25"/>
      <c r="B21" s="982"/>
      <c r="C21" s="539" t="s">
        <v>281</v>
      </c>
      <c r="D21" s="540">
        <f>'7. Watercourses'!P5</f>
        <v>0</v>
      </c>
      <c r="E21" s="541" t="e" cm="1">
        <f t="array" aca="1" ref="E21" ca="1">_xlfn.IFS(D21&gt;=F13,"✓",D21&lt;0,"▲", D21&lt;F13,"⚠")</f>
        <v>#NAME?</v>
      </c>
      <c r="F21" s="501"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50"/>
      <c r="D22" s="40"/>
      <c r="E22" s="40"/>
      <c r="F22" s="499"/>
      <c r="G22" s="29"/>
      <c r="H22" s="29"/>
      <c r="I22" s="29"/>
      <c r="J22" s="29"/>
      <c r="K22" s="29"/>
      <c r="L22" s="29"/>
      <c r="M22" s="29"/>
      <c r="N22" s="29"/>
      <c r="O22" s="29"/>
      <c r="P22" s="29"/>
      <c r="Q22" s="54"/>
      <c r="R22" s="29"/>
      <c r="S22" s="52"/>
      <c r="T22" s="52"/>
      <c r="U22" s="52"/>
      <c r="V22" s="52"/>
      <c r="W22" s="52"/>
      <c r="X22" s="25"/>
    </row>
    <row r="23" spans="1:24" ht="24.6" customHeight="1">
      <c r="A23" s="25"/>
      <c r="B23" s="734" t="s">
        <v>285</v>
      </c>
      <c r="C23" s="537" t="s">
        <v>279</v>
      </c>
      <c r="D23" s="546" t="str">
        <f>IF(D11="Zero Units Baseline","% target not appropriate",D19/D11)</f>
        <v>% target not appropriate</v>
      </c>
      <c r="E23" s="547" t="e" cm="1">
        <f t="array" aca="1" ref="E23" ca="1">_xlfn.IFS(D23&gt;=F19,"✓",D23&lt;0,"▲", D23&lt;F19,"⚠")</f>
        <v>#NAME?</v>
      </c>
      <c r="F23" s="499" t="e">
        <f>$D$23*100</f>
        <v>#VALUE!</v>
      </c>
      <c r="G23" s="29"/>
      <c r="H23" s="29"/>
      <c r="I23" s="29"/>
      <c r="J23" s="29"/>
      <c r="K23" s="29"/>
      <c r="L23" s="29"/>
      <c r="M23" s="29"/>
      <c r="N23" s="29"/>
      <c r="O23" s="29"/>
      <c r="P23" s="29"/>
      <c r="Q23" s="54"/>
      <c r="R23" s="29"/>
      <c r="S23" s="52"/>
      <c r="T23" s="52"/>
      <c r="U23" s="52"/>
      <c r="V23" s="52"/>
      <c r="W23" s="52"/>
      <c r="X23" s="25"/>
    </row>
    <row r="24" spans="1:24" ht="24.6" customHeight="1">
      <c r="A24" s="25"/>
      <c r="B24" s="978"/>
      <c r="C24" s="538" t="s">
        <v>280</v>
      </c>
      <c r="D24" s="548">
        <f>IF(D12="Zero Units Baseline","% target not appropriate",D20/D12)</f>
        <v>-1</v>
      </c>
      <c r="E24" s="549" t="e" cm="1">
        <f t="array" aca="1" ref="E24" ca="1">_xlfn.IFS(D24&gt;=F20,"✓",D24&lt;0,"▲", D24&lt;F20,"⚠")</f>
        <v>#NAME?</v>
      </c>
      <c r="F24" s="499">
        <f>$D$24*100</f>
        <v>-100</v>
      </c>
      <c r="G24" s="29"/>
      <c r="H24" s="29"/>
      <c r="I24" s="29"/>
      <c r="J24" s="29"/>
      <c r="K24" s="29"/>
      <c r="L24" s="29"/>
      <c r="M24" s="29"/>
      <c r="N24" s="29"/>
      <c r="O24" s="29"/>
      <c r="P24" s="29"/>
      <c r="Q24" s="54"/>
      <c r="R24" s="29"/>
      <c r="S24" s="52"/>
      <c r="T24" s="52"/>
      <c r="U24" s="52"/>
      <c r="V24" s="52"/>
      <c r="W24" s="52"/>
      <c r="X24" s="25"/>
    </row>
    <row r="25" spans="1:24" ht="24.6" customHeight="1" thickBot="1">
      <c r="A25" s="25"/>
      <c r="B25" s="979"/>
      <c r="C25" s="539" t="s">
        <v>281</v>
      </c>
      <c r="D25" s="550" t="str">
        <f>IF(D13="Zero Units Baseline","% target not appropriate",D21/D13)</f>
        <v>% target not appropriate</v>
      </c>
      <c r="E25" s="551" t="e" cm="1">
        <f t="array" aca="1" ref="E25" ca="1">_xlfn.IFS(D25&gt;=F21,"✓",D25&lt;0,"▲", D25&lt;F21,"⚠")</f>
        <v>#NAME?</v>
      </c>
      <c r="F25" s="499"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9"/>
      <c r="E26" s="169"/>
      <c r="F26" s="499"/>
      <c r="G26" s="29"/>
      <c r="H26" s="29"/>
      <c r="I26" s="29"/>
      <c r="J26" s="29"/>
      <c r="K26" s="29"/>
      <c r="L26" s="29"/>
      <c r="M26" s="29"/>
      <c r="N26" s="29"/>
      <c r="O26" s="29"/>
      <c r="P26" s="29"/>
      <c r="Q26" s="54"/>
      <c r="R26" s="29"/>
      <c r="S26" s="52"/>
      <c r="T26" s="52"/>
      <c r="U26" s="52"/>
      <c r="V26" s="52"/>
      <c r="W26" s="52"/>
      <c r="X26" s="25"/>
    </row>
    <row r="27" spans="1:24" ht="24.6" customHeight="1">
      <c r="A27" s="25"/>
      <c r="B27" s="987" t="s">
        <v>286</v>
      </c>
      <c r="C27" s="988"/>
      <c r="D27" s="990">
        <f>IFERROR(IF(D11="Zero Units Baseline",IF('2. Site Details'!D17&lt;=D15,0,'2. Site Details'!D17-D15),(IF((D11*(1+('2. Site Details'!D13/100)))-D15&lt;0,0,F15-D15))),"")</f>
        <v>0</v>
      </c>
      <c r="E27" s="991"/>
      <c r="F27" s="499"/>
      <c r="G27" s="29"/>
      <c r="H27" s="29"/>
      <c r="I27" s="29"/>
      <c r="J27" s="29"/>
      <c r="K27" s="29"/>
      <c r="L27" s="29"/>
      <c r="M27" s="29"/>
      <c r="N27" s="29"/>
      <c r="O27" s="29"/>
      <c r="P27" s="29"/>
      <c r="Q27" s="54"/>
      <c r="R27" s="29"/>
      <c r="S27" s="52"/>
      <c r="T27" s="52"/>
      <c r="U27" s="52"/>
      <c r="V27" s="52"/>
      <c r="W27" s="52"/>
      <c r="X27" s="25"/>
    </row>
    <row r="28" spans="1:24" ht="24.6" customHeight="1">
      <c r="A28" s="25"/>
      <c r="B28" s="985" t="s">
        <v>287</v>
      </c>
      <c r="C28" s="986"/>
      <c r="D28" s="992">
        <f>IFERROR(IF(D12="Zero Units Baseline",IF('2. Site Details'!D18&lt;=D16,0,'2. Site Details'!D18-D16),(IF((D12*(1+('2. Site Details'!D14/100)))-D16&lt;0,0,F16-D16))),"")</f>
        <v>4.3999999999999997E-2</v>
      </c>
      <c r="E28" s="993"/>
      <c r="F28" s="499"/>
      <c r="G28" s="163"/>
      <c r="H28" s="29"/>
      <c r="I28" s="29"/>
      <c r="J28" s="29"/>
      <c r="K28" s="29"/>
      <c r="L28" s="29"/>
      <c r="M28" s="29"/>
      <c r="N28" s="29"/>
      <c r="O28" s="29"/>
      <c r="P28" s="29"/>
      <c r="Q28" s="54"/>
      <c r="R28" s="29"/>
      <c r="S28" s="52"/>
      <c r="T28" s="52"/>
      <c r="U28" s="52"/>
      <c r="V28" s="52"/>
      <c r="W28" s="52"/>
      <c r="X28" s="25"/>
    </row>
    <row r="29" spans="1:24" ht="24.6" customHeight="1" thickBot="1">
      <c r="A29" s="25"/>
      <c r="B29" s="983" t="s">
        <v>288</v>
      </c>
      <c r="C29" s="984"/>
      <c r="D29" s="994">
        <f>IFERROR(IF(D13="Zero Units Baseline",IF('2. Site Details'!D19&lt;=D17,0,'2. Site Details'!D19-D17),(IF((D13*(1+('2. Site Details'!D15/100)))-D17&lt;0,0,F17-D17))),"")</f>
        <v>0</v>
      </c>
      <c r="E29" s="995"/>
      <c r="F29" s="499"/>
      <c r="G29" s="29"/>
      <c r="H29" s="29"/>
      <c r="I29" s="29"/>
      <c r="J29" s="29"/>
      <c r="K29" s="29"/>
      <c r="L29" s="29"/>
      <c r="M29" s="29"/>
      <c r="N29" s="29"/>
      <c r="O29" s="29"/>
      <c r="P29" s="29"/>
      <c r="Q29" s="54"/>
      <c r="R29" s="29"/>
      <c r="S29" s="52"/>
      <c r="T29" s="52"/>
      <c r="U29" s="52"/>
      <c r="V29" s="52"/>
      <c r="W29" s="52"/>
      <c r="X29" s="25"/>
    </row>
    <row r="30" spans="1:24" ht="10.199999999999999" customHeight="1">
      <c r="A30" s="25"/>
      <c r="B30" s="25"/>
      <c r="C30" s="25"/>
      <c r="D30" s="169"/>
      <c r="E30" s="169"/>
      <c r="F30" s="499"/>
      <c r="G30" s="29"/>
      <c r="H30" s="29"/>
      <c r="I30" s="29"/>
      <c r="J30" s="29"/>
      <c r="K30" s="29"/>
      <c r="L30" s="29"/>
      <c r="M30" s="29"/>
      <c r="N30" s="29"/>
      <c r="O30" s="29"/>
      <c r="P30" s="29"/>
      <c r="Q30" s="54"/>
      <c r="R30" s="29"/>
      <c r="S30" s="52"/>
      <c r="T30" s="52"/>
      <c r="U30" s="52"/>
      <c r="V30" s="52"/>
      <c r="W30" s="52"/>
      <c r="X30" s="25"/>
    </row>
    <row r="31" spans="1:24" ht="19.95" customHeight="1">
      <c r="A31" s="25"/>
      <c r="B31" s="56"/>
      <c r="C31" s="25"/>
      <c r="D31" s="169"/>
      <c r="E31" s="169"/>
      <c r="F31" s="499"/>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9"/>
      <c r="E32" s="169"/>
      <c r="F32" s="499"/>
      <c r="G32" s="25"/>
      <c r="H32" s="29"/>
      <c r="I32" s="29"/>
      <c r="J32" s="29"/>
      <c r="K32" s="29"/>
      <c r="L32" s="29"/>
      <c r="M32" s="29"/>
      <c r="N32" s="29"/>
      <c r="O32" s="29"/>
      <c r="P32" s="29"/>
      <c r="Q32" s="54"/>
      <c r="R32" s="29"/>
      <c r="S32" s="52"/>
      <c r="T32" s="52"/>
      <c r="U32" s="52"/>
      <c r="V32" s="52"/>
      <c r="W32" s="52"/>
      <c r="X32" s="25"/>
    </row>
    <row r="33" spans="1:24" ht="23.55" customHeight="1">
      <c r="A33" s="25"/>
      <c r="B33" s="56" t="s">
        <v>289</v>
      </c>
      <c r="C33" s="25"/>
      <c r="D33" s="169"/>
      <c r="E33" s="169"/>
      <c r="F33" s="499"/>
      <c r="G33" s="29"/>
      <c r="H33" s="29"/>
      <c r="I33" s="29"/>
      <c r="J33" s="29"/>
      <c r="K33" s="29"/>
      <c r="L33" s="29"/>
      <c r="M33" s="29"/>
      <c r="N33" s="29"/>
      <c r="O33" s="29"/>
      <c r="P33" s="29"/>
      <c r="Q33" s="54"/>
      <c r="R33" s="29"/>
      <c r="S33" s="25"/>
      <c r="T33" s="25"/>
      <c r="U33" s="25"/>
      <c r="V33" s="25"/>
      <c r="W33" s="25"/>
      <c r="X33" s="25"/>
    </row>
    <row r="34" spans="1:24" s="55" customFormat="1" ht="23.55" customHeight="1">
      <c r="A34" s="29"/>
      <c r="B34" s="56"/>
      <c r="C34" s="25"/>
      <c r="D34" s="169"/>
      <c r="E34" s="169"/>
      <c r="F34" s="499"/>
      <c r="G34" s="25"/>
      <c r="H34" s="25"/>
      <c r="I34" s="25"/>
      <c r="J34" s="25"/>
      <c r="K34" s="25"/>
      <c r="L34" s="25"/>
      <c r="M34" s="25"/>
      <c r="N34" s="25"/>
      <c r="O34" s="25"/>
      <c r="P34" s="29"/>
      <c r="Q34" s="54"/>
      <c r="R34" s="29"/>
      <c r="S34" s="29"/>
      <c r="T34" s="29"/>
      <c r="U34" s="29"/>
      <c r="V34" s="29"/>
      <c r="W34" s="29"/>
      <c r="X34" s="29"/>
    </row>
    <row r="35" spans="1:24" s="55" customFormat="1" ht="23.55" customHeight="1" thickBot="1">
      <c r="A35" s="29"/>
      <c r="B35" s="25"/>
      <c r="C35" s="25" t="s">
        <v>290</v>
      </c>
      <c r="D35" s="25" t="s">
        <v>291</v>
      </c>
      <c r="E35" s="52"/>
      <c r="F35" s="499"/>
      <c r="G35" s="25"/>
      <c r="H35" s="25"/>
      <c r="I35" s="25"/>
      <c r="J35" s="25"/>
      <c r="K35" s="25"/>
      <c r="L35" s="25"/>
      <c r="M35" s="25"/>
      <c r="N35" s="25"/>
      <c r="O35" s="25"/>
      <c r="P35" s="29"/>
      <c r="Q35" s="54"/>
      <c r="R35" s="29"/>
      <c r="S35" s="29"/>
      <c r="T35" s="29"/>
      <c r="U35" s="29"/>
      <c r="V35" s="29"/>
      <c r="W35" s="29"/>
      <c r="X35" s="29"/>
    </row>
    <row r="36" spans="1:24" ht="23.55" customHeight="1" thickBot="1">
      <c r="A36" s="25"/>
      <c r="B36" s="386" t="s">
        <v>279</v>
      </c>
      <c r="C36" s="51">
        <f>IF(D11="Zero Units Baseline",0,D11)</f>
        <v>0</v>
      </c>
      <c r="D36" s="51">
        <f>D15</f>
        <v>0</v>
      </c>
      <c r="E36" s="52"/>
      <c r="F36" s="499"/>
      <c r="G36" s="25"/>
      <c r="H36" s="25"/>
      <c r="I36" s="25"/>
      <c r="J36" s="25"/>
      <c r="K36" s="25"/>
      <c r="L36" s="25"/>
      <c r="M36" s="25"/>
      <c r="N36" s="25"/>
      <c r="O36" s="25"/>
      <c r="P36" s="25"/>
      <c r="Q36" s="54"/>
      <c r="R36" s="29"/>
      <c r="S36" s="29"/>
      <c r="T36" s="29"/>
      <c r="U36" s="29"/>
      <c r="V36" s="29"/>
      <c r="W36" s="29"/>
      <c r="X36" s="25"/>
    </row>
    <row r="37" spans="1:24" ht="23.55" customHeight="1" thickBot="1">
      <c r="A37" s="25"/>
      <c r="B37" s="386" t="s">
        <v>280</v>
      </c>
      <c r="C37" s="51">
        <f t="shared" ref="C37:C38" si="1">IF(D12="Zero Units Baseline",0,D12)</f>
        <v>0.04</v>
      </c>
      <c r="D37" s="51">
        <f t="shared" ref="D37:D38" si="2">D16</f>
        <v>0</v>
      </c>
      <c r="E37" s="52"/>
      <c r="F37" s="499"/>
      <c r="G37" s="25"/>
      <c r="H37" s="25"/>
      <c r="I37" s="25"/>
      <c r="J37" s="25"/>
      <c r="K37" s="25"/>
      <c r="L37" s="25"/>
      <c r="M37" s="25"/>
      <c r="N37" s="25"/>
      <c r="O37" s="25"/>
      <c r="P37" s="25"/>
      <c r="Q37" s="54"/>
      <c r="R37" s="29"/>
      <c r="S37" s="29"/>
      <c r="T37" s="29"/>
      <c r="U37" s="29"/>
      <c r="V37" s="29"/>
      <c r="W37" s="29"/>
      <c r="X37" s="25"/>
    </row>
    <row r="38" spans="1:24" ht="23.55" customHeight="1">
      <c r="A38" s="25"/>
      <c r="B38" s="386" t="s">
        <v>292</v>
      </c>
      <c r="C38" s="51">
        <f t="shared" si="1"/>
        <v>0</v>
      </c>
      <c r="D38" s="51">
        <f t="shared" si="2"/>
        <v>0</v>
      </c>
      <c r="E38" s="52"/>
      <c r="F38" s="499"/>
      <c r="G38" s="25"/>
      <c r="H38" s="25"/>
      <c r="I38" s="25"/>
      <c r="J38" s="25"/>
      <c r="K38" s="25"/>
      <c r="L38" s="25"/>
      <c r="M38" s="25"/>
      <c r="N38" s="25"/>
      <c r="O38" s="25"/>
      <c r="P38" s="25"/>
      <c r="Q38" s="54"/>
      <c r="R38" s="29"/>
      <c r="S38" s="29"/>
      <c r="T38" s="29"/>
      <c r="U38" s="29"/>
      <c r="V38" s="29"/>
      <c r="W38" s="29"/>
      <c r="X38" s="25"/>
    </row>
    <row r="39" spans="1:24" ht="23.55" customHeight="1">
      <c r="A39" s="25"/>
      <c r="B39" s="56"/>
      <c r="C39" s="25"/>
      <c r="D39" s="169"/>
      <c r="E39" s="169"/>
      <c r="F39" s="499"/>
      <c r="G39" s="25"/>
      <c r="H39" s="25"/>
      <c r="I39" s="25"/>
      <c r="J39" s="25"/>
      <c r="K39" s="25"/>
      <c r="L39" s="25"/>
      <c r="M39" s="25"/>
      <c r="N39" s="25"/>
      <c r="O39" s="25"/>
      <c r="P39" s="25"/>
      <c r="Q39" s="54"/>
      <c r="R39" s="29"/>
      <c r="S39" s="29"/>
      <c r="T39" s="29"/>
      <c r="U39" s="29"/>
      <c r="V39" s="29"/>
      <c r="W39" s="29"/>
      <c r="X39" s="25"/>
    </row>
    <row r="40" spans="1:24" ht="23.55" customHeight="1">
      <c r="A40" s="25"/>
      <c r="B40" s="56"/>
      <c r="C40" s="25"/>
      <c r="D40" s="169"/>
      <c r="E40" s="169"/>
      <c r="F40" s="499"/>
      <c r="G40" s="25"/>
      <c r="H40" s="25"/>
      <c r="I40" s="25"/>
      <c r="J40" s="25"/>
      <c r="K40" s="25"/>
      <c r="L40" s="25"/>
      <c r="M40" s="25"/>
      <c r="N40" s="25"/>
      <c r="O40" s="25"/>
      <c r="P40" s="25"/>
      <c r="Q40" s="54"/>
      <c r="R40" s="29"/>
      <c r="S40" s="29"/>
      <c r="T40" s="29"/>
      <c r="U40" s="29"/>
      <c r="V40" s="29"/>
      <c r="W40" s="29"/>
      <c r="X40" s="25"/>
    </row>
    <row r="41" spans="1:24" ht="23.55" customHeight="1">
      <c r="A41" s="25"/>
      <c r="B41" s="56"/>
      <c r="C41" s="25"/>
      <c r="D41" s="169"/>
      <c r="E41" s="169"/>
      <c r="F41" s="499"/>
      <c r="G41" s="25"/>
      <c r="H41" s="25"/>
      <c r="I41" s="25"/>
      <c r="J41" s="25"/>
      <c r="K41" s="25"/>
      <c r="L41" s="25"/>
      <c r="M41" s="25"/>
      <c r="N41" s="25"/>
      <c r="O41" s="25"/>
      <c r="P41" s="25"/>
      <c r="Q41" s="54"/>
      <c r="R41" s="29"/>
      <c r="S41" s="29"/>
      <c r="T41" s="29"/>
      <c r="U41" s="29"/>
      <c r="V41" s="29"/>
      <c r="W41" s="29"/>
      <c r="X41" s="25"/>
    </row>
    <row r="42" spans="1:24" ht="23.55" customHeight="1">
      <c r="A42" s="25"/>
      <c r="B42" s="56"/>
      <c r="C42" s="25"/>
      <c r="D42" s="169"/>
      <c r="E42" s="169"/>
      <c r="F42" s="499"/>
      <c r="G42" s="27"/>
      <c r="H42" s="27"/>
      <c r="I42" s="27"/>
      <c r="J42" s="27"/>
      <c r="K42" s="27"/>
      <c r="L42" s="27"/>
      <c r="M42" s="28"/>
      <c r="N42" s="28"/>
      <c r="O42" s="25"/>
      <c r="P42" s="25"/>
      <c r="Q42" s="54"/>
      <c r="R42" s="29"/>
      <c r="S42" s="29"/>
      <c r="T42" s="29"/>
      <c r="U42" s="29"/>
      <c r="V42" s="29"/>
      <c r="W42" s="29"/>
      <c r="X42" s="25"/>
    </row>
    <row r="43" spans="1:24" ht="23.55" customHeight="1">
      <c r="A43" s="25"/>
      <c r="B43" s="56"/>
      <c r="C43" s="25"/>
      <c r="D43" s="169"/>
      <c r="E43" s="169"/>
      <c r="F43" s="499"/>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9"/>
      <c r="E44" s="169"/>
      <c r="F44" s="499"/>
      <c r="G44" s="25"/>
      <c r="H44" s="25"/>
      <c r="I44" s="25"/>
      <c r="J44" s="25"/>
      <c r="K44" s="25"/>
      <c r="L44" s="25"/>
      <c r="M44" s="25"/>
      <c r="N44" s="25"/>
      <c r="O44" s="25"/>
      <c r="P44" s="25"/>
      <c r="Q44" s="25"/>
      <c r="R44" s="25"/>
      <c r="S44" s="25"/>
      <c r="T44" s="25"/>
      <c r="U44" s="25"/>
      <c r="V44" s="25"/>
      <c r="W44" s="25"/>
      <c r="X44" s="25"/>
    </row>
    <row r="45" spans="1:24" ht="21">
      <c r="A45" s="25"/>
      <c r="B45" s="56"/>
      <c r="C45" s="25"/>
      <c r="D45" s="169"/>
      <c r="E45" s="169"/>
      <c r="F45" s="499"/>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9"/>
      <c r="E46" s="169"/>
      <c r="F46" s="499"/>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9"/>
      <c r="E47" s="169"/>
      <c r="F47" s="499"/>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9"/>
      <c r="E48" s="169"/>
      <c r="F48" s="499"/>
      <c r="G48" s="56"/>
      <c r="H48" s="29"/>
      <c r="I48" s="29"/>
      <c r="J48" s="29"/>
      <c r="K48" s="29"/>
      <c r="L48" s="29"/>
      <c r="M48" s="29"/>
      <c r="N48" s="29"/>
      <c r="O48" s="29"/>
      <c r="P48" s="29"/>
      <c r="Q48" s="29"/>
      <c r="R48" s="29"/>
      <c r="S48" s="29"/>
      <c r="T48" s="29"/>
      <c r="U48" s="29"/>
      <c r="V48" s="29"/>
      <c r="W48" s="29"/>
      <c r="X48" s="29"/>
    </row>
    <row r="49" spans="1:24" ht="23.55" customHeight="1">
      <c r="A49" s="25"/>
      <c r="B49" s="56"/>
      <c r="C49" s="25"/>
      <c r="D49" s="169"/>
      <c r="E49" s="169"/>
      <c r="F49" s="499"/>
      <c r="G49" s="56"/>
      <c r="H49" s="29"/>
      <c r="I49" s="29"/>
      <c r="J49" s="29"/>
      <c r="K49" s="29"/>
      <c r="L49" s="29"/>
      <c r="M49" s="25"/>
      <c r="N49" s="25"/>
      <c r="O49" s="25"/>
      <c r="P49" s="25"/>
      <c r="Q49" s="134"/>
      <c r="R49" s="134"/>
      <c r="S49" s="134"/>
      <c r="T49" s="134"/>
      <c r="U49" s="134"/>
      <c r="V49" s="134"/>
      <c r="W49" s="134"/>
      <c r="X49" s="134"/>
    </row>
    <row r="50" spans="1:24" ht="18" customHeight="1">
      <c r="A50" s="25"/>
      <c r="B50" s="25"/>
      <c r="C50" s="29"/>
      <c r="D50" s="29"/>
      <c r="E50" s="29"/>
      <c r="F50" s="499"/>
      <c r="G50" s="56"/>
      <c r="H50" s="29"/>
      <c r="I50" s="29"/>
      <c r="J50" s="29"/>
      <c r="K50" s="29"/>
      <c r="L50" s="29"/>
      <c r="M50" s="25"/>
      <c r="N50" s="25"/>
      <c r="O50" s="25"/>
      <c r="P50" s="25"/>
      <c r="Q50" s="134"/>
      <c r="R50" s="134"/>
      <c r="S50" s="134"/>
      <c r="T50" s="134"/>
      <c r="U50" s="134"/>
      <c r="V50" s="134"/>
      <c r="W50" s="134"/>
      <c r="X50" s="134"/>
    </row>
    <row r="51" spans="1:24" ht="18.600000000000001" customHeight="1">
      <c r="A51" s="25"/>
      <c r="B51" s="25"/>
      <c r="C51" s="29"/>
      <c r="D51" s="29"/>
      <c r="E51" s="29"/>
      <c r="F51" s="499"/>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502"/>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502"/>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502"/>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502"/>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502"/>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502"/>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502"/>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502"/>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502"/>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502"/>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502"/>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502"/>
      <c r="G63" s="56"/>
      <c r="H63" s="29"/>
      <c r="I63" s="29"/>
      <c r="J63" s="29"/>
      <c r="K63" s="29"/>
      <c r="L63" s="29"/>
      <c r="M63" s="25"/>
      <c r="N63" s="25"/>
      <c r="O63" s="25"/>
      <c r="P63" s="25"/>
      <c r="Q63" s="25"/>
      <c r="R63" s="25"/>
      <c r="S63" s="25"/>
      <c r="T63" s="25"/>
      <c r="U63" s="25"/>
      <c r="V63" s="25"/>
      <c r="W63" s="25"/>
      <c r="X63" s="25"/>
    </row>
    <row r="64" spans="1:24" ht="14.55" hidden="1" customHeight="1">
      <c r="A64" s="25"/>
      <c r="B64" s="25"/>
      <c r="C64" s="29"/>
      <c r="D64" s="29"/>
      <c r="E64" s="29"/>
      <c r="F64" s="498"/>
      <c r="G64" s="129"/>
      <c r="H64" s="129"/>
      <c r="I64" s="129"/>
      <c r="J64" s="129"/>
      <c r="K64" s="25"/>
      <c r="L64" s="25"/>
      <c r="M64" s="25"/>
      <c r="N64" s="25"/>
      <c r="O64" s="25"/>
      <c r="P64" s="25"/>
      <c r="Q64" s="25"/>
      <c r="R64" s="25"/>
      <c r="S64" s="25"/>
      <c r="T64" s="25"/>
      <c r="U64" s="25"/>
      <c r="V64" s="25"/>
      <c r="W64" s="25"/>
      <c r="X64" s="25"/>
    </row>
    <row r="65" spans="1:24" ht="14.55" hidden="1" customHeight="1">
      <c r="A65" s="25"/>
      <c r="B65" s="975" t="s">
        <v>293</v>
      </c>
      <c r="C65" s="162">
        <v>26000</v>
      </c>
      <c r="D65" s="29"/>
      <c r="E65" s="29"/>
      <c r="F65" s="498"/>
      <c r="G65" s="129"/>
      <c r="H65" s="129"/>
      <c r="I65" s="129"/>
      <c r="J65" s="129"/>
      <c r="K65" s="25"/>
      <c r="L65" s="25"/>
      <c r="M65" s="25"/>
      <c r="N65" s="25"/>
      <c r="O65" s="25"/>
      <c r="P65" s="25"/>
      <c r="Q65" s="25"/>
      <c r="R65" s="25"/>
      <c r="S65" s="25"/>
      <c r="T65" s="25"/>
      <c r="U65" s="25"/>
      <c r="V65" s="25"/>
      <c r="W65" s="25"/>
      <c r="X65" s="25"/>
    </row>
    <row r="66" spans="1:24" ht="14.55" hidden="1" customHeight="1">
      <c r="A66" s="25"/>
      <c r="B66" s="975"/>
      <c r="C66" s="161"/>
      <c r="D66" s="25"/>
      <c r="E66" s="25"/>
      <c r="F66" s="498"/>
      <c r="G66" s="129"/>
      <c r="H66" s="129"/>
      <c r="I66" s="129"/>
      <c r="J66" s="129"/>
      <c r="K66" s="25"/>
      <c r="L66" s="25"/>
      <c r="M66" s="25"/>
      <c r="N66" s="25"/>
      <c r="O66" s="25"/>
      <c r="P66" s="25"/>
      <c r="Q66" s="25"/>
      <c r="R66" s="25"/>
      <c r="S66" s="25"/>
      <c r="T66" s="25"/>
      <c r="U66" s="25"/>
      <c r="V66" s="25"/>
      <c r="W66" s="25"/>
      <c r="X66" s="25"/>
    </row>
    <row r="67" spans="1:24" ht="14.55" hidden="1" customHeight="1">
      <c r="A67" s="25"/>
      <c r="B67" s="976"/>
      <c r="C67" s="25"/>
      <c r="D67" s="25"/>
      <c r="E67" s="25"/>
      <c r="F67" s="498"/>
      <c r="G67" s="129"/>
      <c r="H67" s="129"/>
      <c r="I67" s="129"/>
      <c r="J67" s="129"/>
      <c r="K67" s="25"/>
      <c r="L67" s="25"/>
      <c r="M67" s="25"/>
      <c r="N67" s="25"/>
      <c r="O67" s="25"/>
      <c r="P67" s="25"/>
      <c r="Q67" s="25"/>
      <c r="R67" s="25"/>
      <c r="S67" s="25"/>
      <c r="T67" s="25"/>
      <c r="U67" s="25"/>
      <c r="V67" s="25"/>
      <c r="W67" s="25"/>
      <c r="X67" s="25"/>
    </row>
    <row r="68" spans="1:24" ht="14.55" hidden="1" customHeight="1">
      <c r="A68" s="25"/>
      <c r="B68" s="976"/>
      <c r="C68" s="25"/>
      <c r="D68" s="25"/>
      <c r="E68" s="25"/>
      <c r="F68" s="498"/>
      <c r="G68" s="129"/>
      <c r="H68" s="129"/>
      <c r="I68" s="129"/>
      <c r="J68" s="129"/>
      <c r="K68" s="25"/>
      <c r="L68" s="25"/>
      <c r="M68" s="25"/>
      <c r="N68" s="25"/>
      <c r="O68" s="25"/>
      <c r="P68" s="25"/>
      <c r="Q68" s="25"/>
      <c r="R68" s="25"/>
      <c r="S68" s="25"/>
      <c r="T68" s="25"/>
      <c r="U68" s="25"/>
      <c r="V68" s="25"/>
      <c r="W68" s="25"/>
      <c r="X68" s="25"/>
    </row>
    <row r="69" spans="1:24" ht="14.55" hidden="1" customHeight="1">
      <c r="A69" s="25"/>
      <c r="B69" s="25"/>
      <c r="C69" s="25"/>
      <c r="D69" s="25"/>
      <c r="E69" s="25"/>
      <c r="F69" s="498"/>
      <c r="G69" s="129"/>
      <c r="H69" s="129"/>
      <c r="I69" s="129"/>
      <c r="J69" s="129"/>
      <c r="K69" s="25"/>
      <c r="L69" s="25"/>
      <c r="M69" s="25"/>
      <c r="N69" s="25"/>
      <c r="O69" s="25"/>
      <c r="P69" s="25"/>
      <c r="Q69" s="25"/>
      <c r="R69" s="25"/>
      <c r="S69" s="25"/>
      <c r="T69" s="25"/>
      <c r="U69" s="25"/>
      <c r="V69" s="25"/>
      <c r="W69" s="25"/>
      <c r="X69" s="25"/>
    </row>
    <row r="70" spans="1:24" ht="14.55" hidden="1" customHeight="1">
      <c r="A70" s="25"/>
      <c r="B70" s="25"/>
      <c r="C70" s="25"/>
      <c r="D70" s="25"/>
      <c r="E70" s="25"/>
      <c r="F70" s="498"/>
      <c r="G70" s="129"/>
      <c r="H70" s="129"/>
      <c r="I70" s="129"/>
      <c r="J70" s="129"/>
      <c r="K70" s="25"/>
      <c r="L70" s="25"/>
      <c r="M70" s="25"/>
      <c r="N70" s="25"/>
      <c r="O70" s="25"/>
      <c r="P70" s="25"/>
      <c r="Q70" s="25"/>
      <c r="R70" s="25"/>
      <c r="S70" s="25"/>
      <c r="T70" s="25"/>
      <c r="U70" s="25"/>
      <c r="V70" s="25"/>
      <c r="W70" s="25"/>
      <c r="X70" s="25"/>
    </row>
    <row r="71" spans="1:24" ht="14.55" hidden="1" customHeight="1"/>
    <row r="72" spans="1:24" ht="14.55" hidden="1" customHeight="1"/>
    <row r="73" spans="1:24" ht="14.55" hidden="1" customHeight="1"/>
    <row r="74" spans="1:24" ht="14.55" hidden="1" customHeight="1"/>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57"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5E5C"/>
    <pageSetUpPr fitToPage="1"/>
  </sheetPr>
  <dimension ref="A1:Y110"/>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0" defaultRowHeight="14.4" zeroHeight="1"/>
  <cols>
    <col min="1" max="2" width="8.77734375" customWidth="1"/>
    <col min="3" max="3" width="78.5546875" bestFit="1" customWidth="1"/>
    <col min="4" max="4" width="28.5546875" style="18" customWidth="1"/>
    <col min="5" max="5" width="14.44140625" hidden="1" customWidth="1"/>
    <col min="6" max="6" width="18.44140625" hidden="1" customWidth="1"/>
    <col min="7" max="7" width="15.77734375" style="18" customWidth="1"/>
    <col min="8" max="8" width="34.5546875" style="20" customWidth="1"/>
    <col min="9" max="9" width="13" customWidth="1"/>
    <col min="10" max="10" width="12.77734375" bestFit="1" customWidth="1"/>
    <col min="11" max="11" width="23.77734375" hidden="1" customWidth="1"/>
    <col min="12" max="25" width="8.77734375" customWidth="1"/>
    <col min="26" max="16384" width="8.77734375" hidden="1"/>
  </cols>
  <sheetData>
    <row r="1" spans="1:25" ht="26.1" customHeight="1" thickBot="1">
      <c r="A1" s="25"/>
      <c r="B1" s="1007" t="s">
        <v>294</v>
      </c>
      <c r="C1" s="1008"/>
      <c r="D1" s="1008"/>
      <c r="E1" s="1008"/>
      <c r="F1" s="1008"/>
      <c r="G1" s="1008"/>
      <c r="H1" s="1008"/>
      <c r="I1" s="1008"/>
      <c r="J1" s="1009"/>
      <c r="K1" s="223">
        <v>9</v>
      </c>
      <c r="L1" s="25"/>
      <c r="M1" s="25"/>
      <c r="N1" s="25"/>
      <c r="O1" s="25"/>
      <c r="P1" s="25"/>
      <c r="Q1" s="25"/>
      <c r="R1" s="25"/>
      <c r="S1" s="25"/>
      <c r="T1" s="25"/>
      <c r="U1" s="25"/>
      <c r="V1" s="25"/>
      <c r="W1" s="25"/>
      <c r="X1" s="25"/>
      <c r="Y1" s="25"/>
    </row>
    <row r="2" spans="1:25" ht="18">
      <c r="A2" s="25"/>
      <c r="B2" s="1005" t="s">
        <v>58</v>
      </c>
      <c r="C2" s="1002" t="s">
        <v>267</v>
      </c>
      <c r="D2" s="1002"/>
      <c r="E2" s="1002"/>
      <c r="F2" s="1002"/>
      <c r="G2" s="1003" t="s">
        <v>94</v>
      </c>
      <c r="H2" s="1003"/>
      <c r="I2" s="1004" t="s">
        <v>295</v>
      </c>
      <c r="J2" s="1004"/>
      <c r="K2" s="130" t="s">
        <v>296</v>
      </c>
      <c r="L2" s="25"/>
      <c r="M2" s="25"/>
      <c r="N2" s="25"/>
      <c r="O2" s="25"/>
      <c r="P2" s="25"/>
      <c r="Q2" s="25"/>
      <c r="R2" s="25"/>
      <c r="S2" s="25"/>
      <c r="T2" s="25"/>
      <c r="U2" s="25"/>
      <c r="V2" s="25"/>
      <c r="W2" s="25"/>
      <c r="X2" s="25"/>
      <c r="Y2" s="25"/>
    </row>
    <row r="3" spans="1:25" ht="43.2">
      <c r="A3" s="25"/>
      <c r="B3" s="1006"/>
      <c r="C3" s="131" t="s">
        <v>267</v>
      </c>
      <c r="D3" s="131" t="s">
        <v>297</v>
      </c>
      <c r="E3" s="131" t="s">
        <v>298</v>
      </c>
      <c r="F3" s="131" t="s">
        <v>299</v>
      </c>
      <c r="G3" s="280" t="s">
        <v>300</v>
      </c>
      <c r="H3" s="280" t="s">
        <v>301</v>
      </c>
      <c r="I3" s="62" t="s">
        <v>302</v>
      </c>
      <c r="J3" s="62" t="s">
        <v>303</v>
      </c>
      <c r="K3" s="132" t="s">
        <v>304</v>
      </c>
      <c r="L3" s="25"/>
      <c r="M3" s="25"/>
      <c r="N3" s="25"/>
      <c r="O3" s="25"/>
      <c r="P3" s="25"/>
      <c r="Q3" s="25"/>
      <c r="R3" s="25"/>
      <c r="S3" s="25"/>
      <c r="T3" s="25"/>
      <c r="U3" s="25"/>
      <c r="V3" s="25"/>
      <c r="W3" s="25"/>
      <c r="X3" s="25"/>
      <c r="Y3" s="25"/>
    </row>
    <row r="4" spans="1:25" ht="28.8">
      <c r="A4" s="25"/>
      <c r="B4" s="7">
        <v>1</v>
      </c>
      <c r="C4" s="7" t="s">
        <v>305</v>
      </c>
      <c r="D4" s="7" t="s">
        <v>211</v>
      </c>
      <c r="E4" s="7"/>
      <c r="F4" s="7"/>
      <c r="G4" s="9" t="s">
        <v>214</v>
      </c>
      <c r="H4" s="9" t="s">
        <v>306</v>
      </c>
      <c r="I4" s="9" t="s">
        <v>212</v>
      </c>
      <c r="J4" s="9" t="s">
        <v>212</v>
      </c>
      <c r="K4" s="7" t="s">
        <v>212</v>
      </c>
      <c r="L4" s="25"/>
      <c r="M4" s="25"/>
      <c r="N4" s="25"/>
      <c r="O4" s="25"/>
      <c r="P4" s="25"/>
      <c r="Q4" s="25"/>
      <c r="R4" s="25"/>
      <c r="S4" s="25"/>
      <c r="T4" s="25"/>
      <c r="U4" s="25"/>
      <c r="V4" s="25"/>
      <c r="W4" s="25"/>
      <c r="X4" s="25"/>
      <c r="Y4" s="25"/>
    </row>
    <row r="5" spans="1:25" ht="28.8">
      <c r="A5" s="25"/>
      <c r="B5" s="7">
        <v>2</v>
      </c>
      <c r="C5" s="7" t="s">
        <v>307</v>
      </c>
      <c r="D5" s="7" t="s">
        <v>211</v>
      </c>
      <c r="E5" s="7"/>
      <c r="F5" s="7"/>
      <c r="G5" s="9" t="s">
        <v>214</v>
      </c>
      <c r="H5" s="9" t="s">
        <v>306</v>
      </c>
      <c r="I5" s="9" t="s">
        <v>212</v>
      </c>
      <c r="J5" s="9" t="s">
        <v>212</v>
      </c>
      <c r="K5" s="7" t="s">
        <v>212</v>
      </c>
      <c r="L5" s="25"/>
      <c r="M5" s="25"/>
      <c r="N5" s="25"/>
      <c r="O5" s="25"/>
      <c r="P5" s="25"/>
      <c r="Q5" s="25"/>
      <c r="R5" s="25"/>
      <c r="S5" s="25"/>
      <c r="T5" s="25"/>
      <c r="U5" s="25"/>
      <c r="V5" s="25"/>
      <c r="W5" s="25"/>
      <c r="X5" s="25"/>
      <c r="Y5" s="25"/>
    </row>
    <row r="6" spans="1:25" ht="28.8">
      <c r="A6" s="25"/>
      <c r="B6" s="7">
        <v>3</v>
      </c>
      <c r="C6" s="7" t="s">
        <v>308</v>
      </c>
      <c r="D6" s="7" t="s">
        <v>211</v>
      </c>
      <c r="E6" s="7"/>
      <c r="F6" s="7"/>
      <c r="G6" s="9" t="s">
        <v>214</v>
      </c>
      <c r="H6" s="9" t="s">
        <v>306</v>
      </c>
      <c r="I6" s="9" t="s">
        <v>212</v>
      </c>
      <c r="J6" s="9" t="s">
        <v>212</v>
      </c>
      <c r="K6" s="7" t="s">
        <v>212</v>
      </c>
      <c r="L6" s="25"/>
      <c r="M6" s="25"/>
      <c r="N6" s="25"/>
      <c r="O6" s="25"/>
      <c r="P6" s="25"/>
      <c r="Q6" s="25"/>
      <c r="R6" s="25"/>
      <c r="S6" s="25"/>
      <c r="T6" s="25"/>
      <c r="U6" s="25"/>
      <c r="V6" s="25"/>
      <c r="W6" s="25"/>
      <c r="X6" s="25"/>
      <c r="Y6" s="25"/>
    </row>
    <row r="7" spans="1:25" ht="28.8">
      <c r="A7" s="25"/>
      <c r="B7" s="7">
        <v>4</v>
      </c>
      <c r="C7" s="7" t="s">
        <v>309</v>
      </c>
      <c r="D7" s="7" t="s">
        <v>211</v>
      </c>
      <c r="E7" s="7"/>
      <c r="F7" s="7"/>
      <c r="G7" s="9" t="s">
        <v>214</v>
      </c>
      <c r="H7" s="9" t="s">
        <v>306</v>
      </c>
      <c r="I7" s="9" t="s">
        <v>212</v>
      </c>
      <c r="J7" s="9" t="s">
        <v>212</v>
      </c>
      <c r="K7" s="7" t="s">
        <v>212</v>
      </c>
      <c r="L7" s="25"/>
      <c r="M7" s="25"/>
      <c r="N7" s="25"/>
      <c r="O7" s="25"/>
      <c r="P7" s="25"/>
      <c r="Q7" s="25"/>
      <c r="R7" s="25"/>
      <c r="S7" s="25"/>
      <c r="T7" s="25"/>
      <c r="U7" s="25"/>
      <c r="V7" s="25"/>
      <c r="W7" s="25"/>
      <c r="X7" s="25"/>
      <c r="Y7" s="25"/>
    </row>
    <row r="8" spans="1:25" ht="28.8">
      <c r="A8" s="25"/>
      <c r="B8" s="7">
        <v>5</v>
      </c>
      <c r="C8" s="7" t="s">
        <v>310</v>
      </c>
      <c r="D8" s="7" t="s">
        <v>211</v>
      </c>
      <c r="E8" s="7"/>
      <c r="F8" s="7"/>
      <c r="G8" s="9" t="s">
        <v>212</v>
      </c>
      <c r="H8" s="9" t="s">
        <v>311</v>
      </c>
      <c r="I8" s="9" t="s">
        <v>212</v>
      </c>
      <c r="J8" s="9" t="s">
        <v>212</v>
      </c>
      <c r="K8" s="7" t="s">
        <v>212</v>
      </c>
      <c r="L8" s="25"/>
      <c r="M8" s="25"/>
      <c r="N8" s="25"/>
      <c r="O8" s="25"/>
      <c r="P8" s="25"/>
      <c r="Q8" s="25"/>
      <c r="R8" s="25"/>
      <c r="S8" s="25"/>
      <c r="T8" s="25"/>
      <c r="U8" s="25"/>
      <c r="V8" s="25"/>
      <c r="W8" s="25"/>
      <c r="X8" s="25"/>
      <c r="Y8" s="25"/>
    </row>
    <row r="9" spans="1:25" ht="28.8">
      <c r="A9" s="25"/>
      <c r="B9" s="7">
        <f>B8+1</f>
        <v>6</v>
      </c>
      <c r="C9" s="7" t="s">
        <v>312</v>
      </c>
      <c r="D9" s="7" t="s">
        <v>211</v>
      </c>
      <c r="E9" s="7"/>
      <c r="F9" s="7"/>
      <c r="G9" s="9" t="s">
        <v>212</v>
      </c>
      <c r="H9" s="9" t="s">
        <v>311</v>
      </c>
      <c r="I9" s="9" t="s">
        <v>212</v>
      </c>
      <c r="J9" s="9" t="s">
        <v>212</v>
      </c>
      <c r="K9" s="7" t="s">
        <v>212</v>
      </c>
      <c r="L9" s="25"/>
      <c r="M9" s="25"/>
      <c r="N9" s="25"/>
      <c r="O9" s="25"/>
      <c r="P9" s="25"/>
      <c r="Q9" s="25"/>
      <c r="R9" s="25"/>
      <c r="S9" s="25"/>
      <c r="T9" s="25"/>
      <c r="U9" s="25"/>
      <c r="V9" s="25"/>
      <c r="W9" s="25"/>
      <c r="X9" s="25"/>
      <c r="Y9" s="25"/>
    </row>
    <row r="10" spans="1:25" ht="28.8">
      <c r="A10" s="25"/>
      <c r="B10" s="7">
        <f t="shared" ref="B10:B76" si="0">B9+1</f>
        <v>7</v>
      </c>
      <c r="C10" s="7" t="s">
        <v>313</v>
      </c>
      <c r="D10" s="7" t="s">
        <v>211</v>
      </c>
      <c r="E10" s="7"/>
      <c r="F10" s="7"/>
      <c r="G10" s="9" t="s">
        <v>212</v>
      </c>
      <c r="H10" s="9" t="s">
        <v>311</v>
      </c>
      <c r="I10" s="9" t="s">
        <v>212</v>
      </c>
      <c r="J10" s="9" t="s">
        <v>212</v>
      </c>
      <c r="K10" s="7" t="s">
        <v>212</v>
      </c>
      <c r="L10" s="25"/>
      <c r="M10" s="25"/>
      <c r="N10" s="25"/>
      <c r="O10" s="25"/>
      <c r="P10" s="25"/>
      <c r="Q10" s="25"/>
      <c r="R10" s="25"/>
      <c r="S10" s="25"/>
      <c r="T10" s="25"/>
      <c r="U10" s="25"/>
      <c r="V10" s="25"/>
      <c r="W10" s="25"/>
      <c r="X10" s="25"/>
      <c r="Y10" s="25"/>
    </row>
    <row r="11" spans="1:25" ht="28.8">
      <c r="A11" s="25"/>
      <c r="B11" s="7">
        <f t="shared" si="0"/>
        <v>8</v>
      </c>
      <c r="C11" s="7" t="s">
        <v>314</v>
      </c>
      <c r="D11" s="7" t="s">
        <v>211</v>
      </c>
      <c r="E11" s="7"/>
      <c r="F11" s="7"/>
      <c r="G11" s="9" t="s">
        <v>212</v>
      </c>
      <c r="H11" s="9" t="s">
        <v>311</v>
      </c>
      <c r="I11" s="9" t="s">
        <v>212</v>
      </c>
      <c r="J11" s="9" t="s">
        <v>212</v>
      </c>
      <c r="K11" s="7" t="s">
        <v>212</v>
      </c>
      <c r="L11" s="25"/>
      <c r="M11" s="25"/>
      <c r="N11" s="25"/>
      <c r="O11" s="25"/>
      <c r="P11" s="25"/>
      <c r="Q11" s="25"/>
      <c r="R11" s="25"/>
      <c r="S11" s="25"/>
      <c r="T11" s="25"/>
      <c r="U11" s="25"/>
      <c r="V11" s="25"/>
      <c r="W11" s="25"/>
      <c r="X11" s="25"/>
      <c r="Y11" s="25"/>
    </row>
    <row r="12" spans="1:25" ht="28.8">
      <c r="A12" s="25"/>
      <c r="B12" s="7">
        <f t="shared" si="0"/>
        <v>9</v>
      </c>
      <c r="C12" s="7" t="s">
        <v>315</v>
      </c>
      <c r="D12" s="7" t="s">
        <v>211</v>
      </c>
      <c r="E12" s="7"/>
      <c r="F12" s="7"/>
      <c r="G12" s="9" t="s">
        <v>212</v>
      </c>
      <c r="H12" s="9" t="s">
        <v>311</v>
      </c>
      <c r="I12" s="9" t="s">
        <v>212</v>
      </c>
      <c r="J12" s="9" t="s">
        <v>212</v>
      </c>
      <c r="K12" s="7" t="s">
        <v>212</v>
      </c>
      <c r="L12" s="25"/>
      <c r="M12" s="25"/>
      <c r="N12" s="25"/>
      <c r="O12" s="25"/>
      <c r="P12" s="25"/>
      <c r="Q12" s="25"/>
      <c r="R12" s="25"/>
      <c r="S12" s="25"/>
      <c r="T12" s="25"/>
      <c r="U12" s="25"/>
      <c r="V12" s="25"/>
      <c r="W12" s="25"/>
      <c r="X12" s="25"/>
      <c r="Y12" s="25"/>
    </row>
    <row r="13" spans="1:25" ht="28.8">
      <c r="A13" s="25"/>
      <c r="B13" s="7">
        <f t="shared" si="0"/>
        <v>10</v>
      </c>
      <c r="C13" s="7" t="s">
        <v>316</v>
      </c>
      <c r="D13" s="7" t="s">
        <v>211</v>
      </c>
      <c r="E13" s="7"/>
      <c r="F13" s="7"/>
      <c r="G13" s="9" t="s">
        <v>212</v>
      </c>
      <c r="H13" s="9" t="s">
        <v>311</v>
      </c>
      <c r="I13" s="9" t="s">
        <v>212</v>
      </c>
      <c r="J13" s="9" t="s">
        <v>212</v>
      </c>
      <c r="K13" s="7" t="s">
        <v>212</v>
      </c>
      <c r="L13" s="25"/>
      <c r="M13" s="25"/>
      <c r="N13" s="25"/>
      <c r="O13" s="25"/>
      <c r="P13" s="25"/>
      <c r="Q13" s="25"/>
      <c r="R13" s="25"/>
      <c r="S13" s="25"/>
      <c r="T13" s="25"/>
      <c r="U13" s="25"/>
      <c r="V13" s="25"/>
      <c r="W13" s="25"/>
      <c r="X13" s="25"/>
      <c r="Y13" s="25"/>
    </row>
    <row r="14" spans="1:25" ht="28.8">
      <c r="A14" s="25"/>
      <c r="B14" s="7">
        <f t="shared" si="0"/>
        <v>11</v>
      </c>
      <c r="C14" s="7" t="s">
        <v>317</v>
      </c>
      <c r="D14" s="7" t="s">
        <v>215</v>
      </c>
      <c r="E14" s="7"/>
      <c r="F14" s="7"/>
      <c r="G14" s="9" t="s">
        <v>212</v>
      </c>
      <c r="H14" s="9" t="s">
        <v>311</v>
      </c>
      <c r="I14" s="9" t="s">
        <v>212</v>
      </c>
      <c r="J14" s="9" t="s">
        <v>212</v>
      </c>
      <c r="K14" s="7" t="s">
        <v>212</v>
      </c>
      <c r="L14" s="25"/>
      <c r="M14" s="25"/>
      <c r="N14" s="25"/>
      <c r="O14" s="25"/>
      <c r="P14" s="25"/>
      <c r="Q14" s="25"/>
      <c r="R14" s="25"/>
      <c r="S14" s="25"/>
      <c r="T14" s="25"/>
      <c r="U14" s="25"/>
      <c r="V14" s="25"/>
      <c r="W14" s="25"/>
      <c r="X14" s="25"/>
      <c r="Y14" s="25"/>
    </row>
    <row r="15" spans="1:25" ht="28.8">
      <c r="A15" s="25"/>
      <c r="B15" s="7">
        <f t="shared" si="0"/>
        <v>12</v>
      </c>
      <c r="C15" s="7" t="s">
        <v>318</v>
      </c>
      <c r="D15" s="7" t="s">
        <v>215</v>
      </c>
      <c r="E15" s="7"/>
      <c r="F15" s="7"/>
      <c r="G15" s="9" t="s">
        <v>212</v>
      </c>
      <c r="H15" s="9" t="s">
        <v>311</v>
      </c>
      <c r="I15" s="9" t="s">
        <v>212</v>
      </c>
      <c r="J15" s="9" t="s">
        <v>212</v>
      </c>
      <c r="K15" s="7" t="s">
        <v>212</v>
      </c>
      <c r="L15" s="25"/>
      <c r="M15" s="25"/>
      <c r="N15" s="25"/>
      <c r="O15" s="25"/>
      <c r="P15" s="25"/>
      <c r="Q15" s="25"/>
      <c r="R15" s="25"/>
      <c r="S15" s="25"/>
      <c r="T15" s="25"/>
      <c r="U15" s="25"/>
      <c r="V15" s="25"/>
      <c r="W15" s="25"/>
      <c r="X15" s="25"/>
      <c r="Y15" s="25"/>
    </row>
    <row r="16" spans="1:25" ht="28.8">
      <c r="A16" s="25"/>
      <c r="B16" s="7">
        <f t="shared" si="0"/>
        <v>13</v>
      </c>
      <c r="C16" s="7" t="s">
        <v>319</v>
      </c>
      <c r="D16" s="7" t="s">
        <v>215</v>
      </c>
      <c r="E16" s="7"/>
      <c r="F16" s="7"/>
      <c r="G16" s="9" t="s">
        <v>214</v>
      </c>
      <c r="H16" s="9" t="s">
        <v>306</v>
      </c>
      <c r="I16" s="9" t="s">
        <v>212</v>
      </c>
      <c r="J16" s="9" t="s">
        <v>212</v>
      </c>
      <c r="K16" s="7" t="s">
        <v>212</v>
      </c>
      <c r="L16" s="25"/>
      <c r="M16" s="25"/>
      <c r="N16" s="25"/>
      <c r="O16" s="25"/>
      <c r="P16" s="25"/>
      <c r="Q16" s="25"/>
      <c r="R16" s="25"/>
      <c r="S16" s="25"/>
      <c r="T16" s="25"/>
      <c r="U16" s="25"/>
      <c r="V16" s="25"/>
      <c r="W16" s="25"/>
      <c r="X16" s="25"/>
      <c r="Y16" s="25"/>
    </row>
    <row r="17" spans="1:25" ht="28.8">
      <c r="A17" s="25"/>
      <c r="B17" s="7">
        <f t="shared" si="0"/>
        <v>14</v>
      </c>
      <c r="C17" s="7" t="s">
        <v>320</v>
      </c>
      <c r="D17" s="7" t="s">
        <v>215</v>
      </c>
      <c r="E17" s="7"/>
      <c r="F17" s="7"/>
      <c r="G17" s="9" t="s">
        <v>214</v>
      </c>
      <c r="H17" s="9" t="s">
        <v>306</v>
      </c>
      <c r="I17" s="9" t="s">
        <v>212</v>
      </c>
      <c r="J17" s="9" t="s">
        <v>212</v>
      </c>
      <c r="K17" s="7" t="s">
        <v>212</v>
      </c>
      <c r="L17" s="25"/>
      <c r="M17" s="25"/>
      <c r="N17" s="25"/>
      <c r="O17" s="25"/>
      <c r="P17" s="25"/>
      <c r="Q17" s="25"/>
      <c r="R17" s="25"/>
      <c r="S17" s="25"/>
      <c r="T17" s="25"/>
      <c r="U17" s="25"/>
      <c r="V17" s="25"/>
      <c r="W17" s="25"/>
      <c r="X17" s="25"/>
      <c r="Y17" s="25"/>
    </row>
    <row r="18" spans="1:25" ht="28.8">
      <c r="A18" s="25"/>
      <c r="B18" s="7">
        <f t="shared" si="0"/>
        <v>15</v>
      </c>
      <c r="C18" s="7" t="s">
        <v>321</v>
      </c>
      <c r="D18" s="7" t="s">
        <v>215</v>
      </c>
      <c r="E18" s="7"/>
      <c r="F18" s="7"/>
      <c r="G18" s="9" t="s">
        <v>214</v>
      </c>
      <c r="H18" s="9" t="s">
        <v>306</v>
      </c>
      <c r="I18" s="9" t="s">
        <v>212</v>
      </c>
      <c r="J18" s="9" t="s">
        <v>212</v>
      </c>
      <c r="K18" s="7" t="s">
        <v>212</v>
      </c>
      <c r="L18" s="25"/>
      <c r="M18" s="25"/>
      <c r="N18" s="25"/>
      <c r="O18" s="25"/>
      <c r="P18" s="25"/>
      <c r="Q18" s="25"/>
      <c r="R18" s="25"/>
      <c r="S18" s="25"/>
      <c r="T18" s="25"/>
      <c r="U18" s="25"/>
      <c r="V18" s="25"/>
      <c r="W18" s="25"/>
      <c r="X18" s="25"/>
      <c r="Y18" s="25"/>
    </row>
    <row r="19" spans="1:25" ht="28.8">
      <c r="A19" s="25"/>
      <c r="B19" s="7">
        <f t="shared" si="0"/>
        <v>16</v>
      </c>
      <c r="C19" s="7" t="s">
        <v>322</v>
      </c>
      <c r="D19" s="7" t="s">
        <v>216</v>
      </c>
      <c r="E19" s="7"/>
      <c r="F19" s="7"/>
      <c r="G19" s="9" t="s">
        <v>214</v>
      </c>
      <c r="H19" s="9" t="s">
        <v>306</v>
      </c>
      <c r="I19" s="9" t="s">
        <v>212</v>
      </c>
      <c r="J19" s="9" t="s">
        <v>212</v>
      </c>
      <c r="K19" s="7" t="s">
        <v>212</v>
      </c>
      <c r="L19" s="25"/>
      <c r="M19" s="25"/>
      <c r="N19" s="25"/>
      <c r="O19" s="25"/>
      <c r="P19" s="25"/>
      <c r="Q19" s="25"/>
      <c r="R19" s="25"/>
      <c r="S19" s="25"/>
      <c r="T19" s="25"/>
      <c r="U19" s="25"/>
      <c r="V19" s="25"/>
      <c r="W19" s="25"/>
      <c r="X19" s="25"/>
      <c r="Y19" s="25"/>
    </row>
    <row r="20" spans="1:25" ht="28.8">
      <c r="A20" s="25"/>
      <c r="B20" s="7">
        <f t="shared" si="0"/>
        <v>17</v>
      </c>
      <c r="C20" s="7" t="s">
        <v>323</v>
      </c>
      <c r="D20" s="7" t="s">
        <v>216</v>
      </c>
      <c r="E20" s="7"/>
      <c r="F20" s="7"/>
      <c r="G20" s="9" t="s">
        <v>214</v>
      </c>
      <c r="H20" s="9" t="s">
        <v>306</v>
      </c>
      <c r="I20" s="9" t="s">
        <v>212</v>
      </c>
      <c r="J20" s="9" t="s">
        <v>212</v>
      </c>
      <c r="K20" s="7" t="s">
        <v>212</v>
      </c>
      <c r="L20" s="25"/>
      <c r="M20" s="25"/>
      <c r="N20" s="25"/>
      <c r="O20" s="25"/>
      <c r="P20" s="25"/>
      <c r="Q20" s="25"/>
      <c r="R20" s="25"/>
      <c r="S20" s="25"/>
      <c r="T20" s="25"/>
      <c r="U20" s="25"/>
      <c r="V20" s="25"/>
      <c r="W20" s="25"/>
      <c r="X20" s="25"/>
      <c r="Y20" s="25"/>
    </row>
    <row r="21" spans="1:25" ht="28.8">
      <c r="A21" s="25"/>
      <c r="B21" s="7">
        <f t="shared" si="0"/>
        <v>18</v>
      </c>
      <c r="C21" s="7" t="s">
        <v>324</v>
      </c>
      <c r="D21" s="7" t="s">
        <v>216</v>
      </c>
      <c r="E21" s="7"/>
      <c r="F21" s="7"/>
      <c r="G21" s="9" t="s">
        <v>214</v>
      </c>
      <c r="H21" s="9" t="s">
        <v>306</v>
      </c>
      <c r="I21" s="9" t="s">
        <v>212</v>
      </c>
      <c r="J21" s="9" t="s">
        <v>212</v>
      </c>
      <c r="K21" s="7" t="s">
        <v>212</v>
      </c>
      <c r="L21" s="25"/>
      <c r="M21" s="25"/>
      <c r="N21" s="25"/>
      <c r="O21" s="25"/>
      <c r="P21" s="25"/>
      <c r="Q21" s="25"/>
      <c r="R21" s="25"/>
      <c r="S21" s="25"/>
      <c r="T21" s="25"/>
      <c r="U21" s="25"/>
      <c r="V21" s="25"/>
      <c r="W21" s="25"/>
      <c r="X21" s="25"/>
      <c r="Y21" s="25"/>
    </row>
    <row r="22" spans="1:25" ht="28.8">
      <c r="A22" s="25"/>
      <c r="B22" s="7">
        <f t="shared" si="0"/>
        <v>19</v>
      </c>
      <c r="C22" s="7" t="s">
        <v>325</v>
      </c>
      <c r="D22" s="7" t="s">
        <v>216</v>
      </c>
      <c r="E22" s="7"/>
      <c r="F22" s="7"/>
      <c r="G22" s="9" t="s">
        <v>214</v>
      </c>
      <c r="H22" s="9" t="s">
        <v>306</v>
      </c>
      <c r="I22" s="9" t="s">
        <v>212</v>
      </c>
      <c r="J22" s="9" t="s">
        <v>212</v>
      </c>
      <c r="K22" s="7" t="s">
        <v>212</v>
      </c>
      <c r="L22" s="25"/>
      <c r="M22" s="25"/>
      <c r="N22" s="25"/>
      <c r="O22" s="25"/>
      <c r="P22" s="25"/>
      <c r="Q22" s="25"/>
      <c r="R22" s="25"/>
      <c r="S22" s="25"/>
      <c r="T22" s="25"/>
      <c r="U22" s="25"/>
      <c r="V22" s="25"/>
      <c r="W22" s="25"/>
      <c r="X22" s="25"/>
      <c r="Y22" s="25"/>
    </row>
    <row r="23" spans="1:25" ht="28.8">
      <c r="A23" s="25"/>
      <c r="B23" s="7">
        <f t="shared" si="0"/>
        <v>20</v>
      </c>
      <c r="C23" s="7" t="s">
        <v>326</v>
      </c>
      <c r="D23" s="7" t="s">
        <v>216</v>
      </c>
      <c r="E23" s="7"/>
      <c r="F23" s="7"/>
      <c r="G23" s="9" t="s">
        <v>214</v>
      </c>
      <c r="H23" s="9" t="s">
        <v>306</v>
      </c>
      <c r="I23" s="9" t="s">
        <v>214</v>
      </c>
      <c r="J23" s="9" t="s">
        <v>212</v>
      </c>
      <c r="K23" s="7" t="s">
        <v>212</v>
      </c>
      <c r="L23" s="25"/>
      <c r="M23" s="25"/>
      <c r="N23" s="25"/>
      <c r="O23" s="25"/>
      <c r="P23" s="25"/>
      <c r="Q23" s="25"/>
      <c r="R23" s="25"/>
      <c r="S23" s="25"/>
      <c r="T23" s="25"/>
      <c r="U23" s="25"/>
      <c r="V23" s="25"/>
      <c r="W23" s="25"/>
      <c r="X23" s="25"/>
      <c r="Y23" s="25"/>
    </row>
    <row r="24" spans="1:25" ht="28.8">
      <c r="A24" s="25"/>
      <c r="B24" s="7">
        <f t="shared" si="0"/>
        <v>21</v>
      </c>
      <c r="C24" s="7" t="s">
        <v>327</v>
      </c>
      <c r="D24" s="7" t="s">
        <v>216</v>
      </c>
      <c r="E24" s="7"/>
      <c r="F24" s="7"/>
      <c r="G24" s="9" t="s">
        <v>214</v>
      </c>
      <c r="H24" s="9" t="s">
        <v>306</v>
      </c>
      <c r="I24" s="9" t="s">
        <v>212</v>
      </c>
      <c r="J24" s="9" t="s">
        <v>212</v>
      </c>
      <c r="K24" s="7" t="s">
        <v>212</v>
      </c>
      <c r="L24" s="25"/>
      <c r="M24" s="25"/>
      <c r="N24" s="25"/>
      <c r="O24" s="25"/>
      <c r="P24" s="25"/>
      <c r="Q24" s="25"/>
      <c r="R24" s="25"/>
      <c r="S24" s="25"/>
      <c r="T24" s="25"/>
      <c r="U24" s="25"/>
      <c r="V24" s="25"/>
      <c r="W24" s="25"/>
      <c r="X24" s="25"/>
      <c r="Y24" s="25"/>
    </row>
    <row r="25" spans="1:25" ht="28.8">
      <c r="A25" s="25"/>
      <c r="B25" s="7">
        <f t="shared" si="0"/>
        <v>22</v>
      </c>
      <c r="C25" s="7" t="s">
        <v>328</v>
      </c>
      <c r="D25" s="7" t="s">
        <v>216</v>
      </c>
      <c r="E25" s="7"/>
      <c r="F25" s="7"/>
      <c r="G25" s="9" t="s">
        <v>212</v>
      </c>
      <c r="H25" s="9" t="s">
        <v>311</v>
      </c>
      <c r="I25" s="9" t="s">
        <v>212</v>
      </c>
      <c r="J25" s="9" t="s">
        <v>212</v>
      </c>
      <c r="K25" s="7" t="s">
        <v>212</v>
      </c>
      <c r="L25" s="25"/>
      <c r="M25" s="25"/>
      <c r="N25" s="25"/>
      <c r="O25" s="25"/>
      <c r="P25" s="25"/>
      <c r="Q25" s="25"/>
      <c r="R25" s="25"/>
      <c r="S25" s="25"/>
      <c r="T25" s="25"/>
      <c r="U25" s="25"/>
      <c r="V25" s="25"/>
      <c r="W25" s="25"/>
      <c r="X25" s="25"/>
      <c r="Y25" s="25"/>
    </row>
    <row r="26" spans="1:25" ht="28.8">
      <c r="A26" s="25"/>
      <c r="B26" s="7">
        <f>B25+1</f>
        <v>23</v>
      </c>
      <c r="C26" s="7" t="s">
        <v>329</v>
      </c>
      <c r="D26" s="7" t="s">
        <v>216</v>
      </c>
      <c r="E26" s="7"/>
      <c r="F26" s="7"/>
      <c r="G26" s="9" t="s">
        <v>212</v>
      </c>
      <c r="H26" s="9" t="s">
        <v>311</v>
      </c>
      <c r="I26" s="9" t="s">
        <v>212</v>
      </c>
      <c r="J26" s="9" t="s">
        <v>212</v>
      </c>
      <c r="K26" s="7" t="s">
        <v>212</v>
      </c>
      <c r="L26" s="25"/>
      <c r="M26" s="25"/>
      <c r="N26" s="25"/>
      <c r="O26" s="25"/>
      <c r="P26" s="25"/>
      <c r="Q26" s="25"/>
      <c r="R26" s="25"/>
      <c r="S26" s="25"/>
      <c r="T26" s="25"/>
      <c r="U26" s="25"/>
      <c r="V26" s="25"/>
      <c r="W26" s="25"/>
      <c r="X26" s="25"/>
      <c r="Y26" s="25"/>
    </row>
    <row r="27" spans="1:25" ht="29.1" customHeight="1">
      <c r="A27" s="25"/>
      <c r="B27" s="7">
        <f>B26+1</f>
        <v>24</v>
      </c>
      <c r="C27" s="7" t="s">
        <v>330</v>
      </c>
      <c r="D27" s="7" t="s">
        <v>216</v>
      </c>
      <c r="E27" s="7"/>
      <c r="F27" s="7"/>
      <c r="G27" s="9" t="s">
        <v>214</v>
      </c>
      <c r="H27" s="9" t="s">
        <v>306</v>
      </c>
      <c r="I27" s="9" t="s">
        <v>214</v>
      </c>
      <c r="J27" s="9" t="s">
        <v>212</v>
      </c>
      <c r="K27" s="7"/>
      <c r="L27" s="25"/>
      <c r="M27" s="25"/>
      <c r="N27" s="25"/>
      <c r="O27" s="25"/>
      <c r="P27" s="25"/>
      <c r="Q27" s="25"/>
      <c r="R27" s="25"/>
      <c r="S27" s="25"/>
      <c r="T27" s="25"/>
      <c r="U27" s="25"/>
      <c r="V27" s="25"/>
      <c r="W27" s="25"/>
      <c r="X27" s="25"/>
      <c r="Y27" s="25"/>
    </row>
    <row r="28" spans="1:25" ht="29.1" customHeight="1">
      <c r="A28" s="25"/>
      <c r="B28" s="7">
        <f>B27+1</f>
        <v>25</v>
      </c>
      <c r="C28" s="7" t="s">
        <v>331</v>
      </c>
      <c r="D28" s="7" t="s">
        <v>219</v>
      </c>
      <c r="E28" s="7"/>
      <c r="F28" s="7"/>
      <c r="G28" s="9" t="s">
        <v>212</v>
      </c>
      <c r="H28" s="9" t="s">
        <v>311</v>
      </c>
      <c r="I28" s="9" t="s">
        <v>212</v>
      </c>
      <c r="J28" s="9" t="s">
        <v>332</v>
      </c>
      <c r="K28" s="7" t="s">
        <v>212</v>
      </c>
      <c r="L28" s="25"/>
      <c r="M28" s="25"/>
      <c r="N28" s="25"/>
      <c r="O28" s="25"/>
      <c r="P28" s="25"/>
      <c r="Q28" s="25"/>
      <c r="R28" s="25"/>
      <c r="S28" s="25"/>
      <c r="T28" s="25"/>
      <c r="U28" s="25"/>
      <c r="V28" s="25"/>
      <c r="W28" s="25"/>
      <c r="X28" s="25"/>
      <c r="Y28" s="25"/>
    </row>
    <row r="29" spans="1:25" ht="28.8">
      <c r="A29" s="25"/>
      <c r="B29" s="7">
        <f t="shared" si="0"/>
        <v>26</v>
      </c>
      <c r="C29" s="7" t="s">
        <v>333</v>
      </c>
      <c r="D29" s="7" t="s">
        <v>219</v>
      </c>
      <c r="E29" s="7"/>
      <c r="F29" s="7"/>
      <c r="G29" s="9" t="s">
        <v>214</v>
      </c>
      <c r="H29" s="9" t="s">
        <v>306</v>
      </c>
      <c r="I29" s="9" t="s">
        <v>214</v>
      </c>
      <c r="J29" s="9" t="s">
        <v>214</v>
      </c>
      <c r="K29" s="7" t="s">
        <v>212</v>
      </c>
      <c r="L29" s="25"/>
      <c r="M29" s="25"/>
      <c r="N29" s="25"/>
      <c r="O29" s="25"/>
      <c r="P29" s="25"/>
      <c r="Q29" s="25"/>
      <c r="R29" s="25"/>
      <c r="S29" s="25"/>
      <c r="T29" s="25"/>
      <c r="U29" s="25"/>
      <c r="V29" s="25"/>
      <c r="W29" s="25"/>
      <c r="X29" s="25"/>
      <c r="Y29" s="25"/>
    </row>
    <row r="30" spans="1:25" ht="28.8">
      <c r="A30" s="25"/>
      <c r="B30" s="7">
        <f t="shared" si="0"/>
        <v>27</v>
      </c>
      <c r="C30" s="7" t="s">
        <v>334</v>
      </c>
      <c r="D30" s="7" t="s">
        <v>219</v>
      </c>
      <c r="E30" s="7"/>
      <c r="F30" s="7"/>
      <c r="G30" s="9" t="s">
        <v>214</v>
      </c>
      <c r="H30" s="9" t="s">
        <v>306</v>
      </c>
      <c r="I30" s="9" t="s">
        <v>214</v>
      </c>
      <c r="J30" s="9" t="s">
        <v>214</v>
      </c>
      <c r="K30" s="7" t="s">
        <v>212</v>
      </c>
      <c r="L30" s="25"/>
      <c r="M30" s="25"/>
      <c r="N30" s="25"/>
      <c r="O30" s="25"/>
      <c r="P30" s="25"/>
      <c r="Q30" s="25"/>
      <c r="R30" s="25"/>
      <c r="S30" s="25"/>
      <c r="T30" s="25"/>
      <c r="U30" s="25"/>
      <c r="V30" s="25"/>
      <c r="W30" s="25"/>
      <c r="X30" s="25"/>
      <c r="Y30" s="25"/>
    </row>
    <row r="31" spans="1:25" ht="28.8">
      <c r="A31" s="25"/>
      <c r="B31" s="7">
        <f t="shared" si="0"/>
        <v>28</v>
      </c>
      <c r="C31" s="7" t="s">
        <v>335</v>
      </c>
      <c r="D31" s="7" t="s">
        <v>220</v>
      </c>
      <c r="E31" s="7"/>
      <c r="F31" s="7"/>
      <c r="G31" s="9" t="s">
        <v>212</v>
      </c>
      <c r="H31" s="9" t="s">
        <v>311</v>
      </c>
      <c r="I31" s="9" t="s">
        <v>212</v>
      </c>
      <c r="J31" s="9" t="s">
        <v>214</v>
      </c>
      <c r="K31" s="7" t="s">
        <v>212</v>
      </c>
      <c r="L31" s="25"/>
      <c r="M31" s="25"/>
      <c r="N31" s="25"/>
      <c r="O31" s="25"/>
      <c r="P31" s="25"/>
      <c r="Q31" s="25"/>
      <c r="R31" s="25"/>
      <c r="S31" s="25"/>
      <c r="T31" s="25"/>
      <c r="U31" s="25"/>
      <c r="V31" s="25"/>
      <c r="W31" s="25"/>
      <c r="X31" s="25"/>
      <c r="Y31" s="25"/>
    </row>
    <row r="32" spans="1:25" ht="28.8">
      <c r="A32" s="25"/>
      <c r="B32" s="7">
        <f t="shared" si="0"/>
        <v>29</v>
      </c>
      <c r="C32" s="7" t="s">
        <v>336</v>
      </c>
      <c r="D32" s="7" t="s">
        <v>220</v>
      </c>
      <c r="E32" s="7"/>
      <c r="F32" s="7"/>
      <c r="G32" s="9" t="s">
        <v>214</v>
      </c>
      <c r="H32" s="9" t="s">
        <v>306</v>
      </c>
      <c r="I32" s="9" t="s">
        <v>214</v>
      </c>
      <c r="J32" s="9" t="s">
        <v>214</v>
      </c>
      <c r="K32" s="7" t="s">
        <v>212</v>
      </c>
      <c r="L32" s="25"/>
      <c r="M32" s="25"/>
      <c r="N32" s="25"/>
      <c r="O32" s="25"/>
      <c r="P32" s="25"/>
      <c r="Q32" s="25"/>
      <c r="R32" s="25"/>
      <c r="S32" s="25"/>
      <c r="T32" s="25"/>
      <c r="U32" s="25"/>
      <c r="V32" s="25"/>
      <c r="W32" s="25"/>
      <c r="X32" s="25"/>
      <c r="Y32" s="25"/>
    </row>
    <row r="33" spans="1:25" ht="29.55" customHeight="1">
      <c r="A33" s="25"/>
      <c r="B33" s="7">
        <f t="shared" si="0"/>
        <v>30</v>
      </c>
      <c r="C33" s="7" t="s">
        <v>337</v>
      </c>
      <c r="D33" s="7" t="s">
        <v>220</v>
      </c>
      <c r="E33" s="7"/>
      <c r="F33" s="7"/>
      <c r="G33" s="9" t="s">
        <v>212</v>
      </c>
      <c r="H33" s="9" t="s">
        <v>311</v>
      </c>
      <c r="I33" s="9" t="s">
        <v>212</v>
      </c>
      <c r="J33" s="9" t="s">
        <v>214</v>
      </c>
      <c r="K33" s="7"/>
      <c r="L33" s="25"/>
      <c r="M33" s="25"/>
      <c r="N33" s="25"/>
      <c r="O33" s="25"/>
      <c r="P33" s="25"/>
      <c r="Q33" s="25"/>
      <c r="R33" s="25"/>
      <c r="S33" s="25"/>
      <c r="T33" s="25"/>
      <c r="U33" s="25"/>
      <c r="V33" s="25"/>
      <c r="W33" s="25"/>
      <c r="X33" s="25"/>
      <c r="Y33" s="25"/>
    </row>
    <row r="34" spans="1:25" ht="28.8">
      <c r="A34" s="25"/>
      <c r="B34" s="7">
        <f>B33+1</f>
        <v>31</v>
      </c>
      <c r="C34" s="7" t="s">
        <v>338</v>
      </c>
      <c r="D34" s="7" t="s">
        <v>221</v>
      </c>
      <c r="E34" s="7"/>
      <c r="F34" s="7"/>
      <c r="G34" s="9" t="s">
        <v>212</v>
      </c>
      <c r="H34" s="9" t="s">
        <v>311</v>
      </c>
      <c r="I34" s="9" t="s">
        <v>212</v>
      </c>
      <c r="J34" s="9" t="s">
        <v>212</v>
      </c>
      <c r="K34" s="7" t="s">
        <v>212</v>
      </c>
      <c r="L34" s="25"/>
      <c r="M34" s="25"/>
      <c r="N34" s="25"/>
      <c r="O34" s="25"/>
      <c r="P34" s="25"/>
      <c r="Q34" s="25"/>
      <c r="R34" s="25"/>
      <c r="S34" s="25"/>
      <c r="T34" s="25"/>
      <c r="U34" s="25"/>
      <c r="V34" s="25"/>
      <c r="W34" s="25"/>
      <c r="X34" s="25"/>
      <c r="Y34" s="25"/>
    </row>
    <row r="35" spans="1:25" ht="28.05" customHeight="1">
      <c r="A35" s="25"/>
      <c r="B35" s="7">
        <f t="shared" si="0"/>
        <v>32</v>
      </c>
      <c r="C35" s="7" t="s">
        <v>339</v>
      </c>
      <c r="D35" s="7" t="s">
        <v>221</v>
      </c>
      <c r="E35" s="7"/>
      <c r="F35" s="7"/>
      <c r="G35" s="9" t="s">
        <v>340</v>
      </c>
      <c r="H35" s="9" t="s">
        <v>341</v>
      </c>
      <c r="I35" s="9" t="s">
        <v>212</v>
      </c>
      <c r="J35" s="9" t="s">
        <v>212</v>
      </c>
      <c r="K35" s="7" t="s">
        <v>212</v>
      </c>
      <c r="L35" s="25"/>
      <c r="M35" s="25"/>
      <c r="N35" s="25"/>
      <c r="O35" s="25"/>
      <c r="P35" s="25"/>
      <c r="Q35" s="25"/>
      <c r="R35" s="25"/>
      <c r="S35" s="25"/>
      <c r="T35" s="25"/>
      <c r="U35" s="25"/>
      <c r="V35" s="25"/>
      <c r="W35" s="25"/>
      <c r="X35" s="25"/>
      <c r="Y35" s="25"/>
    </row>
    <row r="36" spans="1:25" ht="28.8">
      <c r="A36" s="25"/>
      <c r="B36" s="7">
        <f t="shared" si="0"/>
        <v>33</v>
      </c>
      <c r="C36" s="7" t="s">
        <v>342</v>
      </c>
      <c r="D36" s="7" t="s">
        <v>221</v>
      </c>
      <c r="E36" s="7"/>
      <c r="F36" s="7"/>
      <c r="G36" s="9" t="s">
        <v>212</v>
      </c>
      <c r="H36" s="9" t="s">
        <v>311</v>
      </c>
      <c r="I36" s="9" t="s">
        <v>214</v>
      </c>
      <c r="J36" s="9" t="s">
        <v>212</v>
      </c>
      <c r="K36" s="7" t="s">
        <v>212</v>
      </c>
      <c r="L36" s="25"/>
      <c r="M36" s="25"/>
      <c r="N36" s="25"/>
      <c r="O36" s="25"/>
      <c r="P36" s="25"/>
      <c r="Q36" s="25"/>
      <c r="R36" s="25"/>
      <c r="S36" s="25"/>
      <c r="T36" s="25"/>
      <c r="U36" s="25"/>
      <c r="V36" s="25"/>
      <c r="W36" s="25"/>
      <c r="X36" s="25"/>
      <c r="Y36" s="25"/>
    </row>
    <row r="37" spans="1:25" ht="28.8">
      <c r="A37" s="25"/>
      <c r="B37" s="7">
        <f t="shared" si="0"/>
        <v>34</v>
      </c>
      <c r="C37" s="7" t="s">
        <v>343</v>
      </c>
      <c r="D37" s="7" t="s">
        <v>221</v>
      </c>
      <c r="E37" s="7"/>
      <c r="F37" s="7"/>
      <c r="G37" s="9" t="s">
        <v>214</v>
      </c>
      <c r="H37" s="9" t="s">
        <v>306</v>
      </c>
      <c r="I37" s="9" t="s">
        <v>214</v>
      </c>
      <c r="J37" s="9" t="s">
        <v>214</v>
      </c>
      <c r="K37" s="7" t="s">
        <v>212</v>
      </c>
      <c r="L37" s="25"/>
      <c r="M37" s="25"/>
      <c r="N37" s="25"/>
      <c r="O37" s="25"/>
      <c r="P37" s="25"/>
      <c r="Q37" s="25"/>
      <c r="R37" s="25"/>
      <c r="S37" s="25"/>
      <c r="T37" s="25"/>
      <c r="U37" s="25"/>
      <c r="V37" s="25"/>
      <c r="W37" s="25"/>
      <c r="X37" s="25"/>
      <c r="Y37" s="25"/>
    </row>
    <row r="38" spans="1:25" ht="29.1" customHeight="1">
      <c r="A38" s="25"/>
      <c r="B38" s="7">
        <f t="shared" si="0"/>
        <v>35</v>
      </c>
      <c r="C38" s="7" t="s">
        <v>344</v>
      </c>
      <c r="D38" s="7" t="s">
        <v>221</v>
      </c>
      <c r="E38" s="7"/>
      <c r="F38" s="7"/>
      <c r="G38" s="9" t="s">
        <v>340</v>
      </c>
      <c r="H38" s="9" t="s">
        <v>341</v>
      </c>
      <c r="I38" s="9" t="s">
        <v>212</v>
      </c>
      <c r="J38" s="9" t="s">
        <v>212</v>
      </c>
      <c r="K38" s="7" t="s">
        <v>212</v>
      </c>
      <c r="L38" s="25"/>
      <c r="M38" s="25"/>
      <c r="N38" s="25"/>
      <c r="O38" s="25"/>
      <c r="P38" s="25"/>
      <c r="Q38" s="25"/>
      <c r="R38" s="25"/>
      <c r="S38" s="25"/>
      <c r="T38" s="25"/>
      <c r="U38" s="25"/>
      <c r="V38" s="25"/>
      <c r="W38" s="25"/>
      <c r="X38" s="25"/>
      <c r="Y38" s="25"/>
    </row>
    <row r="39" spans="1:25" ht="28.8">
      <c r="A39" s="25"/>
      <c r="B39" s="7">
        <f t="shared" si="0"/>
        <v>36</v>
      </c>
      <c r="C39" s="7" t="s">
        <v>345</v>
      </c>
      <c r="D39" s="7" t="s">
        <v>221</v>
      </c>
      <c r="E39" s="7"/>
      <c r="F39" s="7"/>
      <c r="G39" s="9" t="s">
        <v>214</v>
      </c>
      <c r="H39" s="9" t="s">
        <v>306</v>
      </c>
      <c r="I39" s="9" t="s">
        <v>214</v>
      </c>
      <c r="J39" s="9" t="s">
        <v>212</v>
      </c>
      <c r="K39" s="7" t="s">
        <v>212</v>
      </c>
      <c r="L39" s="25"/>
      <c r="M39" s="25"/>
      <c r="N39" s="25"/>
      <c r="O39" s="25"/>
      <c r="P39" s="25"/>
      <c r="Q39" s="25"/>
      <c r="R39" s="25"/>
      <c r="S39" s="25"/>
      <c r="T39" s="25"/>
      <c r="U39" s="25"/>
      <c r="V39" s="25"/>
      <c r="W39" s="25"/>
      <c r="X39" s="25"/>
      <c r="Y39" s="25"/>
    </row>
    <row r="40" spans="1:25" ht="29.55" customHeight="1">
      <c r="A40" s="25"/>
      <c r="B40" s="7">
        <f t="shared" si="0"/>
        <v>37</v>
      </c>
      <c r="C40" s="7" t="s">
        <v>346</v>
      </c>
      <c r="D40" s="7" t="s">
        <v>221</v>
      </c>
      <c r="E40" s="7"/>
      <c r="F40" s="7"/>
      <c r="G40" s="9" t="s">
        <v>340</v>
      </c>
      <c r="H40" s="9" t="s">
        <v>341</v>
      </c>
      <c r="I40" s="9" t="s">
        <v>212</v>
      </c>
      <c r="J40" s="9" t="s">
        <v>214</v>
      </c>
      <c r="K40" s="7" t="s">
        <v>212</v>
      </c>
      <c r="L40" s="25"/>
      <c r="M40" s="25"/>
      <c r="N40" s="25"/>
      <c r="O40" s="25"/>
      <c r="P40" s="25"/>
      <c r="Q40" s="25"/>
      <c r="R40" s="25"/>
      <c r="S40" s="25"/>
      <c r="T40" s="25"/>
      <c r="U40" s="25"/>
      <c r="V40" s="25"/>
      <c r="W40" s="25"/>
      <c r="X40" s="25"/>
      <c r="Y40" s="25"/>
    </row>
    <row r="41" spans="1:25" ht="28.8">
      <c r="A41" s="25"/>
      <c r="B41" s="7">
        <f t="shared" si="0"/>
        <v>38</v>
      </c>
      <c r="C41" s="7" t="s">
        <v>347</v>
      </c>
      <c r="D41" s="7" t="s">
        <v>221</v>
      </c>
      <c r="E41" s="7"/>
      <c r="F41" s="7"/>
      <c r="G41" s="9" t="s">
        <v>212</v>
      </c>
      <c r="H41" s="9" t="s">
        <v>311</v>
      </c>
      <c r="I41" s="9" t="s">
        <v>212</v>
      </c>
      <c r="J41" s="9" t="s">
        <v>212</v>
      </c>
      <c r="K41" s="7" t="s">
        <v>212</v>
      </c>
      <c r="L41" s="25"/>
      <c r="M41" s="25"/>
      <c r="N41" s="25"/>
      <c r="O41" s="25"/>
      <c r="P41" s="25"/>
      <c r="Q41" s="25"/>
      <c r="R41" s="25"/>
      <c r="S41" s="25"/>
      <c r="T41" s="25"/>
      <c r="U41" s="25"/>
      <c r="V41" s="25"/>
      <c r="W41" s="25"/>
      <c r="X41" s="25"/>
      <c r="Y41" s="25"/>
    </row>
    <row r="42" spans="1:25" ht="28.8">
      <c r="A42" s="25"/>
      <c r="B42" s="7">
        <f t="shared" si="0"/>
        <v>39</v>
      </c>
      <c r="C42" s="7" t="s">
        <v>348</v>
      </c>
      <c r="D42" s="7" t="s">
        <v>221</v>
      </c>
      <c r="E42" s="7"/>
      <c r="F42" s="7"/>
      <c r="G42" s="9" t="s">
        <v>212</v>
      </c>
      <c r="H42" s="9" t="s">
        <v>311</v>
      </c>
      <c r="I42" s="9" t="s">
        <v>214</v>
      </c>
      <c r="J42" s="9" t="s">
        <v>214</v>
      </c>
      <c r="K42" s="7" t="s">
        <v>212</v>
      </c>
      <c r="L42" s="25"/>
      <c r="M42" s="25"/>
      <c r="N42" s="25"/>
      <c r="O42" s="25"/>
      <c r="P42" s="25"/>
      <c r="Q42" s="25"/>
      <c r="R42" s="25"/>
      <c r="S42" s="25"/>
      <c r="T42" s="25"/>
      <c r="U42" s="25"/>
      <c r="V42" s="25"/>
      <c r="W42" s="25"/>
      <c r="X42" s="25"/>
      <c r="Y42" s="25"/>
    </row>
    <row r="43" spans="1:25" ht="28.8">
      <c r="A43" s="25"/>
      <c r="B43" s="7">
        <f t="shared" si="0"/>
        <v>40</v>
      </c>
      <c r="C43" s="7" t="s">
        <v>349</v>
      </c>
      <c r="D43" s="7" t="s">
        <v>221</v>
      </c>
      <c r="E43" s="7"/>
      <c r="F43" s="7"/>
      <c r="G43" s="9" t="s">
        <v>212</v>
      </c>
      <c r="H43" s="9" t="s">
        <v>311</v>
      </c>
      <c r="I43" s="9" t="s">
        <v>214</v>
      </c>
      <c r="J43" s="9" t="s">
        <v>214</v>
      </c>
      <c r="K43" s="7" t="s">
        <v>212</v>
      </c>
      <c r="L43" s="25"/>
      <c r="M43" s="25"/>
      <c r="N43" s="25"/>
      <c r="O43" s="25"/>
      <c r="P43" s="25"/>
      <c r="Q43" s="25"/>
      <c r="R43" s="25"/>
      <c r="S43" s="25"/>
      <c r="T43" s="25"/>
      <c r="U43" s="25"/>
      <c r="V43" s="25"/>
      <c r="W43" s="25"/>
      <c r="X43" s="25"/>
      <c r="Y43" s="25"/>
    </row>
    <row r="44" spans="1:25" ht="28.8">
      <c r="A44" s="25"/>
      <c r="B44" s="7">
        <f t="shared" si="0"/>
        <v>41</v>
      </c>
      <c r="C44" s="7" t="s">
        <v>350</v>
      </c>
      <c r="D44" s="7" t="s">
        <v>221</v>
      </c>
      <c r="E44" s="7"/>
      <c r="F44" s="7"/>
      <c r="G44" s="9" t="s">
        <v>212</v>
      </c>
      <c r="H44" s="9" t="s">
        <v>311</v>
      </c>
      <c r="I44" s="9" t="s">
        <v>212</v>
      </c>
      <c r="J44" s="9" t="s">
        <v>212</v>
      </c>
      <c r="K44" s="7" t="s">
        <v>212</v>
      </c>
      <c r="L44" s="25"/>
      <c r="M44" s="25"/>
      <c r="N44" s="25"/>
      <c r="O44" s="25"/>
      <c r="P44" s="25"/>
      <c r="Q44" s="25"/>
      <c r="R44" s="25"/>
      <c r="S44" s="25"/>
      <c r="T44" s="25"/>
      <c r="U44" s="25"/>
      <c r="V44" s="25"/>
      <c r="W44" s="25"/>
      <c r="X44" s="25"/>
      <c r="Y44" s="25"/>
    </row>
    <row r="45" spans="1:25" ht="28.8">
      <c r="A45" s="25"/>
      <c r="B45" s="7">
        <f t="shared" si="0"/>
        <v>42</v>
      </c>
      <c r="C45" s="7" t="s">
        <v>351</v>
      </c>
      <c r="D45" s="7" t="s">
        <v>221</v>
      </c>
      <c r="E45" s="7"/>
      <c r="F45" s="7"/>
      <c r="G45" s="9" t="s">
        <v>212</v>
      </c>
      <c r="H45" s="9" t="s">
        <v>311</v>
      </c>
      <c r="I45" s="9" t="s">
        <v>212</v>
      </c>
      <c r="J45" s="9" t="s">
        <v>212</v>
      </c>
      <c r="K45" s="7" t="s">
        <v>212</v>
      </c>
      <c r="L45" s="25"/>
      <c r="M45" s="25"/>
      <c r="N45" s="25"/>
      <c r="O45" s="25"/>
      <c r="P45" s="25"/>
      <c r="Q45" s="25"/>
      <c r="R45" s="25"/>
      <c r="S45" s="25"/>
      <c r="T45" s="25"/>
      <c r="U45" s="25"/>
      <c r="V45" s="25"/>
      <c r="W45" s="25"/>
      <c r="X45" s="25"/>
      <c r="Y45" s="25"/>
    </row>
    <row r="46" spans="1:25" ht="28.8">
      <c r="A46" s="25"/>
      <c r="B46" s="7">
        <f t="shared" si="0"/>
        <v>43</v>
      </c>
      <c r="C46" s="7" t="s">
        <v>352</v>
      </c>
      <c r="D46" s="7" t="s">
        <v>221</v>
      </c>
      <c r="E46" s="7"/>
      <c r="F46" s="7"/>
      <c r="G46" s="9" t="s">
        <v>212</v>
      </c>
      <c r="H46" s="9" t="s">
        <v>311</v>
      </c>
      <c r="I46" s="9" t="s">
        <v>212</v>
      </c>
      <c r="J46" s="9" t="s">
        <v>212</v>
      </c>
      <c r="K46" s="7" t="s">
        <v>212</v>
      </c>
      <c r="L46" s="25"/>
      <c r="M46" s="25"/>
      <c r="N46" s="25"/>
      <c r="O46" s="25"/>
      <c r="P46" s="25"/>
      <c r="Q46" s="25"/>
      <c r="R46" s="25"/>
      <c r="S46" s="25"/>
      <c r="T46" s="25"/>
      <c r="U46" s="25"/>
      <c r="V46" s="25"/>
      <c r="W46" s="25"/>
      <c r="X46" s="25"/>
      <c r="Y46" s="25"/>
    </row>
    <row r="47" spans="1:25" ht="28.8">
      <c r="A47" s="25"/>
      <c r="B47" s="7">
        <f t="shared" si="0"/>
        <v>44</v>
      </c>
      <c r="C47" s="7" t="s">
        <v>353</v>
      </c>
      <c r="D47" s="7" t="s">
        <v>221</v>
      </c>
      <c r="E47" s="7"/>
      <c r="F47" s="7"/>
      <c r="G47" s="9" t="s">
        <v>212</v>
      </c>
      <c r="H47" s="9" t="s">
        <v>311</v>
      </c>
      <c r="I47" s="9" t="s">
        <v>212</v>
      </c>
      <c r="J47" s="9" t="s">
        <v>212</v>
      </c>
      <c r="K47" s="7" t="s">
        <v>212</v>
      </c>
      <c r="L47" s="25"/>
      <c r="M47" s="25"/>
      <c r="N47" s="25"/>
      <c r="O47" s="25"/>
      <c r="P47" s="25"/>
      <c r="Q47" s="25"/>
      <c r="R47" s="25"/>
      <c r="S47" s="25"/>
      <c r="T47" s="25"/>
      <c r="U47" s="25"/>
      <c r="V47" s="25"/>
      <c r="W47" s="25"/>
      <c r="X47" s="25"/>
      <c r="Y47" s="25"/>
    </row>
    <row r="48" spans="1:25" ht="28.8">
      <c r="A48" s="25"/>
      <c r="B48" s="7">
        <f t="shared" si="0"/>
        <v>45</v>
      </c>
      <c r="C48" s="7" t="s">
        <v>354</v>
      </c>
      <c r="D48" s="7" t="s">
        <v>221</v>
      </c>
      <c r="E48" s="7"/>
      <c r="F48" s="7"/>
      <c r="G48" s="9" t="s">
        <v>212</v>
      </c>
      <c r="H48" s="9" t="s">
        <v>311</v>
      </c>
      <c r="I48" s="9" t="s">
        <v>214</v>
      </c>
      <c r="J48" s="9" t="s">
        <v>214</v>
      </c>
      <c r="K48" s="7" t="s">
        <v>212</v>
      </c>
      <c r="L48" s="25"/>
      <c r="M48" s="25"/>
      <c r="N48" s="25"/>
      <c r="O48" s="25"/>
      <c r="P48" s="25"/>
      <c r="Q48" s="25"/>
      <c r="R48" s="25"/>
      <c r="S48" s="25"/>
      <c r="T48" s="25"/>
      <c r="U48" s="25"/>
      <c r="V48" s="25"/>
      <c r="W48" s="25"/>
      <c r="X48" s="25"/>
      <c r="Y48" s="25"/>
    </row>
    <row r="49" spans="1:25" ht="28.8">
      <c r="A49" s="25"/>
      <c r="B49" s="7">
        <f t="shared" si="0"/>
        <v>46</v>
      </c>
      <c r="C49" s="7" t="s">
        <v>103</v>
      </c>
      <c r="D49" s="7" t="s">
        <v>102</v>
      </c>
      <c r="E49" s="7"/>
      <c r="F49" s="7"/>
      <c r="G49" s="9" t="s">
        <v>214</v>
      </c>
      <c r="H49" s="9" t="s">
        <v>306</v>
      </c>
      <c r="I49" s="9" t="s">
        <v>212</v>
      </c>
      <c r="J49" s="9" t="s">
        <v>212</v>
      </c>
      <c r="K49" s="7" t="s">
        <v>212</v>
      </c>
      <c r="L49" s="25"/>
      <c r="M49" s="25"/>
      <c r="N49" s="25"/>
      <c r="O49" s="25"/>
      <c r="P49" s="25"/>
      <c r="Q49" s="25"/>
      <c r="R49" s="25"/>
      <c r="S49" s="25"/>
      <c r="T49" s="25"/>
      <c r="U49" s="25"/>
      <c r="V49" s="25"/>
      <c r="W49" s="25"/>
      <c r="X49" s="25"/>
      <c r="Y49" s="25"/>
    </row>
    <row r="50" spans="1:25" ht="28.8">
      <c r="A50" s="25"/>
      <c r="B50" s="7">
        <f t="shared" si="0"/>
        <v>47</v>
      </c>
      <c r="C50" s="7" t="s">
        <v>355</v>
      </c>
      <c r="D50" s="7" t="s">
        <v>221</v>
      </c>
      <c r="E50" s="7"/>
      <c r="F50" s="7"/>
      <c r="G50" s="9" t="s">
        <v>212</v>
      </c>
      <c r="H50" s="9" t="s">
        <v>311</v>
      </c>
      <c r="I50" s="9" t="s">
        <v>214</v>
      </c>
      <c r="J50" s="9" t="s">
        <v>214</v>
      </c>
      <c r="K50" s="7" t="s">
        <v>212</v>
      </c>
      <c r="L50" s="25"/>
      <c r="M50" s="25"/>
      <c r="N50" s="25"/>
      <c r="O50" s="25"/>
      <c r="P50" s="25"/>
      <c r="Q50" s="25"/>
      <c r="R50" s="25"/>
      <c r="S50" s="25"/>
      <c r="T50" s="25"/>
      <c r="U50" s="25"/>
      <c r="V50" s="25"/>
      <c r="W50" s="25"/>
      <c r="X50" s="25"/>
      <c r="Y50" s="25"/>
    </row>
    <row r="51" spans="1:25" ht="29.55" customHeight="1">
      <c r="A51" s="25"/>
      <c r="B51" s="7">
        <f t="shared" si="0"/>
        <v>48</v>
      </c>
      <c r="C51" s="7" t="s">
        <v>356</v>
      </c>
      <c r="D51" s="7" t="s">
        <v>221</v>
      </c>
      <c r="E51" s="7"/>
      <c r="F51" s="7"/>
      <c r="G51" s="9" t="s">
        <v>340</v>
      </c>
      <c r="H51" s="9" t="s">
        <v>341</v>
      </c>
      <c r="I51" s="9" t="s">
        <v>212</v>
      </c>
      <c r="J51" s="9" t="s">
        <v>212</v>
      </c>
      <c r="K51" s="7" t="s">
        <v>212</v>
      </c>
      <c r="L51" s="25"/>
      <c r="M51" s="25"/>
      <c r="N51" s="25"/>
      <c r="O51" s="25"/>
      <c r="P51" s="25"/>
      <c r="Q51" s="25"/>
      <c r="R51" s="25"/>
      <c r="S51" s="25"/>
      <c r="T51" s="25"/>
      <c r="U51" s="25"/>
      <c r="V51" s="25"/>
      <c r="W51" s="25"/>
      <c r="X51" s="25"/>
      <c r="Y51" s="25"/>
    </row>
    <row r="52" spans="1:25" ht="28.8">
      <c r="A52" s="25"/>
      <c r="B52" s="7">
        <f t="shared" si="0"/>
        <v>49</v>
      </c>
      <c r="C52" s="7" t="s">
        <v>357</v>
      </c>
      <c r="D52" s="7" t="s">
        <v>221</v>
      </c>
      <c r="E52" s="7"/>
      <c r="F52" s="7"/>
      <c r="G52" s="9" t="s">
        <v>212</v>
      </c>
      <c r="H52" s="9" t="s">
        <v>311</v>
      </c>
      <c r="I52" s="9" t="s">
        <v>212</v>
      </c>
      <c r="J52" s="9" t="s">
        <v>212</v>
      </c>
      <c r="K52" s="7" t="s">
        <v>212</v>
      </c>
      <c r="L52" s="25"/>
      <c r="M52" s="25"/>
      <c r="N52" s="25"/>
      <c r="O52" s="25"/>
      <c r="P52" s="25"/>
      <c r="Q52" s="25"/>
      <c r="R52" s="25"/>
      <c r="S52" s="25"/>
      <c r="T52" s="25"/>
      <c r="U52" s="25"/>
      <c r="V52" s="25"/>
      <c r="W52" s="25"/>
      <c r="X52" s="25"/>
      <c r="Y52" s="25"/>
    </row>
    <row r="53" spans="1:25" ht="28.8">
      <c r="A53" s="25"/>
      <c r="B53" s="7">
        <f t="shared" si="0"/>
        <v>50</v>
      </c>
      <c r="C53" s="7" t="s">
        <v>358</v>
      </c>
      <c r="D53" s="7" t="s">
        <v>221</v>
      </c>
      <c r="E53" s="7"/>
      <c r="F53" s="7"/>
      <c r="G53" s="9" t="s">
        <v>212</v>
      </c>
      <c r="H53" s="9" t="s">
        <v>311</v>
      </c>
      <c r="I53" s="9" t="s">
        <v>212</v>
      </c>
      <c r="J53" s="9" t="s">
        <v>212</v>
      </c>
      <c r="K53" s="7" t="s">
        <v>212</v>
      </c>
      <c r="L53" s="25"/>
      <c r="M53" s="25"/>
      <c r="N53" s="25"/>
      <c r="O53" s="25"/>
      <c r="P53" s="25"/>
      <c r="Q53" s="25"/>
      <c r="R53" s="25"/>
      <c r="S53" s="25"/>
      <c r="T53" s="25"/>
      <c r="U53" s="25"/>
      <c r="V53" s="25"/>
      <c r="W53" s="25"/>
      <c r="X53" s="25"/>
      <c r="Y53" s="25"/>
    </row>
    <row r="54" spans="1:25" ht="29.55" customHeight="1">
      <c r="A54" s="25"/>
      <c r="B54" s="7">
        <f t="shared" si="0"/>
        <v>51</v>
      </c>
      <c r="C54" s="7" t="s">
        <v>359</v>
      </c>
      <c r="D54" s="7" t="s">
        <v>221</v>
      </c>
      <c r="E54" s="7"/>
      <c r="F54" s="7"/>
      <c r="G54" s="9" t="s">
        <v>212</v>
      </c>
      <c r="H54" s="9" t="s">
        <v>311</v>
      </c>
      <c r="I54" s="9" t="s">
        <v>212</v>
      </c>
      <c r="J54" s="9" t="s">
        <v>212</v>
      </c>
      <c r="K54" s="7"/>
      <c r="L54" s="25"/>
      <c r="M54" s="25"/>
      <c r="N54" s="25"/>
      <c r="O54" s="25"/>
      <c r="P54" s="25"/>
      <c r="Q54" s="25"/>
      <c r="R54" s="25"/>
      <c r="S54" s="25"/>
      <c r="T54" s="25"/>
      <c r="U54" s="25"/>
      <c r="V54" s="25"/>
      <c r="W54" s="25"/>
      <c r="X54" s="25"/>
      <c r="Y54" s="25"/>
    </row>
    <row r="55" spans="1:25" ht="28.8">
      <c r="A55" s="25"/>
      <c r="B55" s="7">
        <f>B54+1</f>
        <v>52</v>
      </c>
      <c r="C55" s="7" t="s">
        <v>360</v>
      </c>
      <c r="D55" s="7" t="s">
        <v>222</v>
      </c>
      <c r="E55" s="7"/>
      <c r="F55" s="7"/>
      <c r="G55" s="9" t="s">
        <v>212</v>
      </c>
      <c r="H55" s="9" t="s">
        <v>311</v>
      </c>
      <c r="I55" s="9" t="s">
        <v>212</v>
      </c>
      <c r="J55" s="9" t="s">
        <v>212</v>
      </c>
      <c r="K55" s="7" t="s">
        <v>212</v>
      </c>
      <c r="L55" s="25"/>
      <c r="M55" s="25"/>
      <c r="N55" s="25"/>
      <c r="O55" s="25"/>
      <c r="P55" s="25"/>
      <c r="Q55" s="25"/>
      <c r="R55" s="25"/>
      <c r="S55" s="25"/>
      <c r="T55" s="25"/>
      <c r="U55" s="25"/>
      <c r="V55" s="25"/>
      <c r="W55" s="25"/>
      <c r="X55" s="25"/>
      <c r="Y55" s="25"/>
    </row>
    <row r="56" spans="1:25" ht="28.8">
      <c r="A56" s="25"/>
      <c r="B56" s="7">
        <f t="shared" si="0"/>
        <v>53</v>
      </c>
      <c r="C56" s="7" t="s">
        <v>361</v>
      </c>
      <c r="D56" s="7" t="s">
        <v>222</v>
      </c>
      <c r="E56" s="7"/>
      <c r="F56" s="7"/>
      <c r="G56" s="9" t="s">
        <v>214</v>
      </c>
      <c r="H56" s="9" t="s">
        <v>306</v>
      </c>
      <c r="I56" s="9" t="s">
        <v>214</v>
      </c>
      <c r="J56" s="9" t="s">
        <v>214</v>
      </c>
      <c r="K56" s="7" t="s">
        <v>212</v>
      </c>
      <c r="L56" s="25"/>
      <c r="M56" s="25"/>
      <c r="N56" s="25"/>
      <c r="O56" s="25"/>
      <c r="P56" s="25"/>
      <c r="Q56" s="25"/>
      <c r="R56" s="25"/>
      <c r="S56" s="25"/>
      <c r="T56" s="25"/>
      <c r="U56" s="25"/>
      <c r="V56" s="25"/>
      <c r="W56" s="25"/>
      <c r="X56" s="25"/>
      <c r="Y56" s="25"/>
    </row>
    <row r="57" spans="1:25" ht="28.8">
      <c r="A57" s="25"/>
      <c r="B57" s="7">
        <f t="shared" si="0"/>
        <v>54</v>
      </c>
      <c r="C57" s="7" t="s">
        <v>362</v>
      </c>
      <c r="D57" s="7" t="s">
        <v>222</v>
      </c>
      <c r="E57" s="7"/>
      <c r="F57" s="7"/>
      <c r="G57" s="9" t="s">
        <v>214</v>
      </c>
      <c r="H57" s="9" t="s">
        <v>306</v>
      </c>
      <c r="I57" s="9" t="s">
        <v>212</v>
      </c>
      <c r="J57" s="9" t="s">
        <v>212</v>
      </c>
      <c r="K57" s="7" t="s">
        <v>212</v>
      </c>
      <c r="L57" s="25"/>
      <c r="M57" s="25"/>
      <c r="N57" s="25"/>
      <c r="O57" s="25"/>
      <c r="P57" s="25"/>
      <c r="Q57" s="25"/>
      <c r="R57" s="25"/>
      <c r="S57" s="25"/>
      <c r="T57" s="25"/>
      <c r="U57" s="25"/>
      <c r="V57" s="25"/>
      <c r="W57" s="25"/>
      <c r="X57" s="25"/>
      <c r="Y57" s="25"/>
    </row>
    <row r="58" spans="1:25" ht="28.8">
      <c r="A58" s="25"/>
      <c r="B58" s="7">
        <f t="shared" si="0"/>
        <v>55</v>
      </c>
      <c r="C58" s="7" t="s">
        <v>363</v>
      </c>
      <c r="D58" s="7" t="s">
        <v>222</v>
      </c>
      <c r="E58" s="7"/>
      <c r="F58" s="7"/>
      <c r="G58" s="9" t="s">
        <v>214</v>
      </c>
      <c r="H58" s="9" t="s">
        <v>306</v>
      </c>
      <c r="I58" s="9" t="s">
        <v>212</v>
      </c>
      <c r="J58" s="9" t="s">
        <v>212</v>
      </c>
      <c r="K58" s="7" t="s">
        <v>212</v>
      </c>
      <c r="L58" s="25"/>
      <c r="M58" s="25"/>
      <c r="N58" s="25"/>
      <c r="O58" s="25"/>
      <c r="P58" s="25"/>
      <c r="Q58" s="25"/>
      <c r="R58" s="25"/>
      <c r="S58" s="25"/>
      <c r="T58" s="25"/>
      <c r="U58" s="25"/>
      <c r="V58" s="25"/>
      <c r="W58" s="25"/>
      <c r="X58" s="25"/>
      <c r="Y58" s="25"/>
    </row>
    <row r="59" spans="1:25" ht="28.8">
      <c r="A59" s="25"/>
      <c r="B59" s="7">
        <f t="shared" si="0"/>
        <v>56</v>
      </c>
      <c r="C59" s="7" t="s">
        <v>364</v>
      </c>
      <c r="D59" s="7" t="s">
        <v>218</v>
      </c>
      <c r="E59" s="7"/>
      <c r="F59" s="7"/>
      <c r="G59" s="9" t="s">
        <v>214</v>
      </c>
      <c r="H59" s="9" t="s">
        <v>306</v>
      </c>
      <c r="I59" s="9" t="s">
        <v>214</v>
      </c>
      <c r="J59" s="9" t="s">
        <v>214</v>
      </c>
      <c r="K59" s="7" t="s">
        <v>212</v>
      </c>
      <c r="L59" s="25"/>
      <c r="M59" s="25"/>
      <c r="N59" s="25"/>
      <c r="O59" s="25"/>
      <c r="P59" s="25"/>
      <c r="Q59" s="25"/>
      <c r="R59" s="25"/>
      <c r="S59" s="25"/>
      <c r="T59" s="25"/>
      <c r="U59" s="25"/>
      <c r="V59" s="25"/>
      <c r="W59" s="25"/>
      <c r="X59" s="25"/>
      <c r="Y59" s="25"/>
    </row>
    <row r="60" spans="1:25" ht="28.8">
      <c r="A60" s="25"/>
      <c r="B60" s="7">
        <f t="shared" si="0"/>
        <v>57</v>
      </c>
      <c r="C60" s="7" t="s">
        <v>365</v>
      </c>
      <c r="D60" s="7" t="s">
        <v>223</v>
      </c>
      <c r="E60" s="7"/>
      <c r="F60" s="7"/>
      <c r="G60" s="9" t="s">
        <v>212</v>
      </c>
      <c r="H60" s="9" t="s">
        <v>311</v>
      </c>
      <c r="I60" s="9" t="s">
        <v>332</v>
      </c>
      <c r="J60" s="9" t="s">
        <v>214</v>
      </c>
      <c r="K60" s="7" t="s">
        <v>212</v>
      </c>
      <c r="L60" s="25"/>
      <c r="M60" s="25"/>
      <c r="N60" s="25"/>
      <c r="O60" s="25"/>
      <c r="P60" s="25"/>
      <c r="Q60" s="25"/>
      <c r="R60" s="25"/>
      <c r="S60" s="25"/>
      <c r="T60" s="25"/>
      <c r="U60" s="25"/>
      <c r="V60" s="25"/>
      <c r="W60" s="25"/>
      <c r="X60" s="25"/>
      <c r="Y60" s="25"/>
    </row>
    <row r="61" spans="1:25" ht="28.8">
      <c r="A61" s="25"/>
      <c r="B61" s="7">
        <f t="shared" si="0"/>
        <v>58</v>
      </c>
      <c r="C61" s="7" t="s">
        <v>366</v>
      </c>
      <c r="D61" s="7" t="s">
        <v>218</v>
      </c>
      <c r="E61" s="7"/>
      <c r="F61" s="7"/>
      <c r="G61" s="9" t="s">
        <v>212</v>
      </c>
      <c r="H61" s="9" t="s">
        <v>311</v>
      </c>
      <c r="I61" s="9" t="s">
        <v>214</v>
      </c>
      <c r="J61" s="9" t="s">
        <v>214</v>
      </c>
      <c r="K61" s="7" t="s">
        <v>212</v>
      </c>
      <c r="L61" s="25"/>
      <c r="M61" s="25"/>
      <c r="N61" s="25"/>
      <c r="O61" s="25"/>
      <c r="P61" s="25"/>
      <c r="Q61" s="25"/>
      <c r="R61" s="25"/>
      <c r="S61" s="25"/>
      <c r="T61" s="25"/>
      <c r="U61" s="25"/>
      <c r="V61" s="25"/>
      <c r="W61" s="25"/>
      <c r="X61" s="25"/>
      <c r="Y61" s="25"/>
    </row>
    <row r="62" spans="1:25" ht="28.8">
      <c r="A62" s="25"/>
      <c r="B62" s="7">
        <f t="shared" si="0"/>
        <v>59</v>
      </c>
      <c r="C62" s="7" t="s">
        <v>367</v>
      </c>
      <c r="D62" s="7" t="s">
        <v>218</v>
      </c>
      <c r="E62" s="7"/>
      <c r="F62" s="7"/>
      <c r="G62" s="9" t="s">
        <v>212</v>
      </c>
      <c r="H62" s="9" t="s">
        <v>311</v>
      </c>
      <c r="I62" s="9" t="s">
        <v>332</v>
      </c>
      <c r="J62" s="9" t="s">
        <v>214</v>
      </c>
      <c r="K62" s="7" t="s">
        <v>212</v>
      </c>
      <c r="L62" s="25"/>
      <c r="M62" s="25"/>
      <c r="N62" s="25"/>
      <c r="O62" s="25"/>
      <c r="P62" s="25"/>
      <c r="Q62" s="25"/>
      <c r="R62" s="25"/>
      <c r="S62" s="25"/>
      <c r="T62" s="25"/>
      <c r="U62" s="25"/>
      <c r="V62" s="25"/>
      <c r="W62" s="25"/>
      <c r="X62" s="25"/>
      <c r="Y62" s="25"/>
    </row>
    <row r="63" spans="1:25" ht="28.8">
      <c r="A63" s="25"/>
      <c r="B63" s="7">
        <f t="shared" si="0"/>
        <v>60</v>
      </c>
      <c r="C63" s="7" t="s">
        <v>368</v>
      </c>
      <c r="D63" s="7" t="s">
        <v>218</v>
      </c>
      <c r="E63" s="7"/>
      <c r="F63" s="7"/>
      <c r="G63" s="9" t="s">
        <v>212</v>
      </c>
      <c r="H63" s="9" t="s">
        <v>311</v>
      </c>
      <c r="I63" s="9" t="s">
        <v>214</v>
      </c>
      <c r="J63" s="9" t="s">
        <v>214</v>
      </c>
      <c r="K63" s="7" t="s">
        <v>212</v>
      </c>
      <c r="L63" s="25"/>
      <c r="M63" s="25"/>
      <c r="N63" s="25"/>
      <c r="O63" s="25"/>
      <c r="P63" s="25"/>
      <c r="Q63" s="25"/>
      <c r="R63" s="25"/>
      <c r="S63" s="25"/>
      <c r="T63" s="25"/>
      <c r="U63" s="25"/>
      <c r="V63" s="25"/>
      <c r="W63" s="25"/>
      <c r="X63" s="25"/>
      <c r="Y63" s="25"/>
    </row>
    <row r="64" spans="1:25" ht="28.8">
      <c r="A64" s="25"/>
      <c r="B64" s="7">
        <f t="shared" si="0"/>
        <v>61</v>
      </c>
      <c r="C64" s="7" t="s">
        <v>369</v>
      </c>
      <c r="D64" s="7" t="s">
        <v>218</v>
      </c>
      <c r="E64" s="7"/>
      <c r="F64" s="7"/>
      <c r="G64" s="9" t="s">
        <v>212</v>
      </c>
      <c r="H64" s="9" t="s">
        <v>311</v>
      </c>
      <c r="I64" s="9" t="s">
        <v>332</v>
      </c>
      <c r="J64" s="9" t="s">
        <v>214</v>
      </c>
      <c r="K64" s="7" t="s">
        <v>212</v>
      </c>
      <c r="L64" s="25"/>
      <c r="M64" s="25"/>
      <c r="N64" s="25"/>
      <c r="O64" s="25"/>
      <c r="P64" s="25"/>
      <c r="Q64" s="25"/>
      <c r="R64" s="25"/>
      <c r="S64" s="25"/>
      <c r="T64" s="25"/>
      <c r="U64" s="25"/>
      <c r="V64" s="25"/>
      <c r="W64" s="25"/>
      <c r="X64" s="25"/>
      <c r="Y64" s="25"/>
    </row>
    <row r="65" spans="1:25" ht="28.8">
      <c r="A65" s="25"/>
      <c r="B65" s="7">
        <f t="shared" si="0"/>
        <v>62</v>
      </c>
      <c r="C65" s="7" t="s">
        <v>370</v>
      </c>
      <c r="D65" s="7" t="s">
        <v>218</v>
      </c>
      <c r="E65" s="7"/>
      <c r="F65" s="7"/>
      <c r="G65" s="9" t="s">
        <v>212</v>
      </c>
      <c r="H65" s="9" t="s">
        <v>311</v>
      </c>
      <c r="I65" s="9" t="s">
        <v>332</v>
      </c>
      <c r="J65" s="9" t="s">
        <v>214</v>
      </c>
      <c r="K65" s="7" t="s">
        <v>212</v>
      </c>
      <c r="L65" s="25"/>
      <c r="M65" s="25"/>
      <c r="N65" s="25"/>
      <c r="O65" s="25"/>
      <c r="P65" s="25"/>
      <c r="Q65" s="25"/>
      <c r="R65" s="25"/>
      <c r="S65" s="25"/>
      <c r="T65" s="25"/>
      <c r="U65" s="25"/>
      <c r="V65" s="25"/>
      <c r="W65" s="25"/>
      <c r="X65" s="25"/>
      <c r="Y65" s="25"/>
    </row>
    <row r="66" spans="1:25" ht="28.8">
      <c r="A66" s="25"/>
      <c r="B66" s="7">
        <f t="shared" si="0"/>
        <v>63</v>
      </c>
      <c r="C66" s="7" t="s">
        <v>371</v>
      </c>
      <c r="D66" s="7" t="s">
        <v>218</v>
      </c>
      <c r="E66" s="7"/>
      <c r="F66" s="7"/>
      <c r="G66" s="9" t="s">
        <v>212</v>
      </c>
      <c r="H66" s="9" t="s">
        <v>311</v>
      </c>
      <c r="I66" s="9" t="s">
        <v>332</v>
      </c>
      <c r="J66" s="9" t="s">
        <v>332</v>
      </c>
      <c r="K66" s="7" t="s">
        <v>212</v>
      </c>
      <c r="L66" s="25"/>
      <c r="M66" s="25"/>
      <c r="N66" s="25"/>
      <c r="O66" s="25"/>
      <c r="P66" s="25"/>
      <c r="Q66" s="25"/>
      <c r="R66" s="25"/>
      <c r="S66" s="25"/>
      <c r="T66" s="25"/>
      <c r="U66" s="25"/>
      <c r="V66" s="25"/>
      <c r="W66" s="25"/>
      <c r="X66" s="25"/>
      <c r="Y66" s="25"/>
    </row>
    <row r="67" spans="1:25" ht="28.8">
      <c r="A67" s="25"/>
      <c r="B67" s="7">
        <f t="shared" si="0"/>
        <v>64</v>
      </c>
      <c r="C67" s="7" t="s">
        <v>372</v>
      </c>
      <c r="D67" s="7" t="s">
        <v>218</v>
      </c>
      <c r="E67" s="7"/>
      <c r="F67" s="7"/>
      <c r="G67" s="9" t="s">
        <v>212</v>
      </c>
      <c r="H67" s="9" t="s">
        <v>311</v>
      </c>
      <c r="I67" s="9" t="s">
        <v>332</v>
      </c>
      <c r="J67" s="9" t="s">
        <v>214</v>
      </c>
      <c r="K67" s="7" t="s">
        <v>212</v>
      </c>
      <c r="L67" s="25"/>
      <c r="M67" s="25"/>
      <c r="N67" s="25"/>
      <c r="O67" s="25"/>
      <c r="P67" s="25"/>
      <c r="Q67" s="25"/>
      <c r="R67" s="25"/>
      <c r="S67" s="25"/>
      <c r="T67" s="25"/>
      <c r="U67" s="25"/>
      <c r="V67" s="25"/>
      <c r="W67" s="25"/>
      <c r="X67" s="25"/>
      <c r="Y67" s="25"/>
    </row>
    <row r="68" spans="1:25" ht="28.8">
      <c r="A68" s="25"/>
      <c r="B68" s="7">
        <f t="shared" si="0"/>
        <v>65</v>
      </c>
      <c r="C68" s="7" t="s">
        <v>373</v>
      </c>
      <c r="D68" s="7" t="s">
        <v>218</v>
      </c>
      <c r="E68" s="7"/>
      <c r="F68" s="7"/>
      <c r="G68" s="9" t="s">
        <v>214</v>
      </c>
      <c r="H68" s="9" t="s">
        <v>306</v>
      </c>
      <c r="I68" s="9" t="s">
        <v>214</v>
      </c>
      <c r="J68" s="9" t="s">
        <v>214</v>
      </c>
      <c r="K68" s="7" t="s">
        <v>212</v>
      </c>
      <c r="L68" s="25"/>
      <c r="M68" s="25"/>
      <c r="N68" s="25"/>
      <c r="O68" s="25"/>
      <c r="P68" s="25"/>
      <c r="Q68" s="25"/>
      <c r="R68" s="25"/>
      <c r="S68" s="25"/>
      <c r="T68" s="25"/>
      <c r="U68" s="25"/>
      <c r="V68" s="25"/>
      <c r="W68" s="25"/>
      <c r="X68" s="25"/>
      <c r="Y68" s="25"/>
    </row>
    <row r="69" spans="1:25" ht="28.8">
      <c r="A69" s="25"/>
      <c r="B69" s="7">
        <f t="shared" si="0"/>
        <v>66</v>
      </c>
      <c r="C69" s="7" t="s">
        <v>374</v>
      </c>
      <c r="D69" s="9" t="s">
        <v>217</v>
      </c>
      <c r="E69" s="7"/>
      <c r="F69" s="7"/>
      <c r="G69" s="9" t="s">
        <v>212</v>
      </c>
      <c r="H69" s="9" t="s">
        <v>311</v>
      </c>
      <c r="I69" s="9" t="s">
        <v>214</v>
      </c>
      <c r="J69" s="9" t="s">
        <v>214</v>
      </c>
      <c r="K69" s="7" t="s">
        <v>212</v>
      </c>
      <c r="L69" s="25"/>
      <c r="M69" s="25"/>
      <c r="N69" s="25"/>
      <c r="O69" s="25"/>
      <c r="P69" s="25"/>
      <c r="Q69" s="25"/>
      <c r="R69" s="25"/>
      <c r="S69" s="25"/>
      <c r="T69" s="25"/>
      <c r="U69" s="25"/>
      <c r="V69" s="25"/>
      <c r="W69" s="25"/>
      <c r="X69" s="25"/>
      <c r="Y69" s="25"/>
    </row>
    <row r="70" spans="1:25" ht="28.8">
      <c r="A70" s="25"/>
      <c r="B70" s="7">
        <f t="shared" si="0"/>
        <v>67</v>
      </c>
      <c r="C70" s="7" t="s">
        <v>375</v>
      </c>
      <c r="D70" s="9" t="s">
        <v>217</v>
      </c>
      <c r="E70" s="7"/>
      <c r="F70" s="7"/>
      <c r="G70" s="9" t="s">
        <v>212</v>
      </c>
      <c r="H70" s="9" t="s">
        <v>311</v>
      </c>
      <c r="I70" s="9" t="s">
        <v>214</v>
      </c>
      <c r="J70" s="9" t="s">
        <v>214</v>
      </c>
      <c r="K70" s="7" t="s">
        <v>212</v>
      </c>
      <c r="L70" s="25"/>
      <c r="M70" s="25"/>
      <c r="N70" s="25"/>
      <c r="O70" s="25"/>
      <c r="P70" s="25"/>
      <c r="Q70" s="25"/>
      <c r="R70" s="25"/>
      <c r="S70" s="25"/>
      <c r="T70" s="25"/>
      <c r="U70" s="25"/>
      <c r="V70" s="25"/>
      <c r="W70" s="25"/>
      <c r="X70" s="25"/>
      <c r="Y70" s="25"/>
    </row>
    <row r="71" spans="1:25" ht="29.4" thickBot="1">
      <c r="A71" s="25"/>
      <c r="B71" s="233">
        <f t="shared" si="0"/>
        <v>68</v>
      </c>
      <c r="C71" s="233" t="s">
        <v>376</v>
      </c>
      <c r="D71" s="246" t="s">
        <v>217</v>
      </c>
      <c r="E71" s="233"/>
      <c r="F71" s="233"/>
      <c r="G71" s="246" t="s">
        <v>214</v>
      </c>
      <c r="H71" s="246" t="s">
        <v>306</v>
      </c>
      <c r="I71" s="246" t="s">
        <v>214</v>
      </c>
      <c r="J71" s="246" t="s">
        <v>214</v>
      </c>
      <c r="K71" s="7" t="s">
        <v>212</v>
      </c>
      <c r="L71" s="25"/>
      <c r="M71" s="25"/>
      <c r="N71" s="25"/>
      <c r="O71" s="25"/>
      <c r="P71" s="25"/>
      <c r="Q71" s="25"/>
      <c r="R71" s="25"/>
      <c r="S71" s="25"/>
      <c r="T71" s="25"/>
      <c r="U71" s="25"/>
      <c r="V71" s="25"/>
      <c r="W71" s="25"/>
      <c r="X71" s="25"/>
      <c r="Y71" s="25"/>
    </row>
    <row r="72" spans="1:25" ht="28.8">
      <c r="A72" s="25"/>
      <c r="B72" s="225">
        <f t="shared" si="0"/>
        <v>69</v>
      </c>
      <c r="C72" s="225" t="s">
        <v>242</v>
      </c>
      <c r="D72" s="225" t="s">
        <v>235</v>
      </c>
      <c r="E72" s="225"/>
      <c r="F72" s="225"/>
      <c r="G72" s="394" t="s">
        <v>214</v>
      </c>
      <c r="H72" s="394" t="s">
        <v>311</v>
      </c>
      <c r="I72" s="394" t="s">
        <v>212</v>
      </c>
      <c r="J72" s="394" t="s">
        <v>212</v>
      </c>
      <c r="K72" s="7" t="s">
        <v>212</v>
      </c>
      <c r="L72" s="25"/>
      <c r="M72" s="25"/>
      <c r="N72" s="25"/>
      <c r="O72" s="25"/>
      <c r="P72" s="25"/>
      <c r="Q72" s="25"/>
      <c r="R72" s="25"/>
      <c r="S72" s="25"/>
      <c r="T72" s="25"/>
      <c r="U72" s="25"/>
      <c r="V72" s="25"/>
      <c r="W72" s="25"/>
      <c r="X72" s="25"/>
      <c r="Y72" s="25"/>
    </row>
    <row r="73" spans="1:25" ht="28.8">
      <c r="A73" s="25"/>
      <c r="B73" s="7">
        <f t="shared" si="0"/>
        <v>70</v>
      </c>
      <c r="C73" s="7" t="s">
        <v>243</v>
      </c>
      <c r="D73" s="7" t="s">
        <v>235</v>
      </c>
      <c r="E73" s="7"/>
      <c r="F73" s="7"/>
      <c r="G73" s="9" t="s">
        <v>214</v>
      </c>
      <c r="H73" s="9" t="s">
        <v>311</v>
      </c>
      <c r="I73" s="9" t="s">
        <v>212</v>
      </c>
      <c r="J73" s="9" t="s">
        <v>212</v>
      </c>
      <c r="K73" s="7" t="s">
        <v>212</v>
      </c>
      <c r="L73" s="25"/>
      <c r="M73" s="25"/>
      <c r="N73" s="25"/>
      <c r="O73" s="25"/>
      <c r="P73" s="25"/>
      <c r="Q73" s="25"/>
      <c r="R73" s="25"/>
      <c r="S73" s="25"/>
      <c r="T73" s="25"/>
      <c r="U73" s="25"/>
      <c r="V73" s="25"/>
      <c r="W73" s="25"/>
      <c r="X73" s="25"/>
      <c r="Y73" s="25"/>
    </row>
    <row r="74" spans="1:25" ht="28.8">
      <c r="A74" s="25"/>
      <c r="B74" s="7">
        <f t="shared" si="0"/>
        <v>71</v>
      </c>
      <c r="C74" s="7" t="s">
        <v>244</v>
      </c>
      <c r="D74" s="7" t="s">
        <v>235</v>
      </c>
      <c r="E74" s="7"/>
      <c r="F74" s="7"/>
      <c r="G74" s="9" t="s">
        <v>214</v>
      </c>
      <c r="H74" s="9" t="s">
        <v>311</v>
      </c>
      <c r="I74" s="9" t="s">
        <v>212</v>
      </c>
      <c r="J74" s="9" t="s">
        <v>212</v>
      </c>
      <c r="K74" s="7" t="s">
        <v>212</v>
      </c>
      <c r="L74" s="25"/>
      <c r="M74" s="25"/>
      <c r="N74" s="25"/>
      <c r="O74" s="25"/>
      <c r="P74" s="25"/>
      <c r="Q74" s="25"/>
      <c r="R74" s="25"/>
      <c r="S74" s="25"/>
      <c r="T74" s="25"/>
      <c r="U74" s="25"/>
      <c r="V74" s="25"/>
      <c r="W74" s="25"/>
      <c r="X74" s="25"/>
      <c r="Y74" s="25"/>
    </row>
    <row r="75" spans="1:25" ht="28.8">
      <c r="A75" s="25"/>
      <c r="B75" s="7">
        <f t="shared" si="0"/>
        <v>72</v>
      </c>
      <c r="C75" s="7" t="s">
        <v>248</v>
      </c>
      <c r="D75" s="7" t="s">
        <v>235</v>
      </c>
      <c r="E75" s="7"/>
      <c r="F75" s="7"/>
      <c r="G75" s="9" t="s">
        <v>212</v>
      </c>
      <c r="H75" s="9" t="s">
        <v>311</v>
      </c>
      <c r="I75" s="9" t="s">
        <v>212</v>
      </c>
      <c r="J75" s="9" t="s">
        <v>212</v>
      </c>
      <c r="K75" s="7" t="s">
        <v>212</v>
      </c>
      <c r="L75" s="25"/>
      <c r="M75" s="25"/>
      <c r="N75" s="25"/>
      <c r="O75" s="25"/>
      <c r="P75" s="25"/>
      <c r="Q75" s="25"/>
      <c r="R75" s="25"/>
      <c r="S75" s="25"/>
      <c r="T75" s="25"/>
      <c r="U75" s="25"/>
      <c r="V75" s="25"/>
      <c r="W75" s="25"/>
      <c r="X75" s="25"/>
      <c r="Y75" s="25"/>
    </row>
    <row r="76" spans="1:25" ht="29.55" customHeight="1">
      <c r="A76" s="25"/>
      <c r="B76" s="7">
        <f t="shared" si="0"/>
        <v>73</v>
      </c>
      <c r="C76" s="7" t="s">
        <v>252</v>
      </c>
      <c r="D76" s="7" t="s">
        <v>235</v>
      </c>
      <c r="E76" s="7"/>
      <c r="F76" s="7"/>
      <c r="G76" s="9" t="s">
        <v>340</v>
      </c>
      <c r="H76" s="9" t="s">
        <v>341</v>
      </c>
      <c r="I76" s="9" t="s">
        <v>212</v>
      </c>
      <c r="J76" s="9" t="s">
        <v>212</v>
      </c>
      <c r="K76" s="7" t="s">
        <v>212</v>
      </c>
      <c r="L76" s="25"/>
      <c r="M76" s="25"/>
      <c r="N76" s="25"/>
      <c r="O76" s="25"/>
      <c r="P76" s="25"/>
      <c r="Q76" s="25"/>
      <c r="R76" s="25"/>
      <c r="S76" s="25"/>
      <c r="T76" s="25"/>
      <c r="U76" s="25"/>
      <c r="V76" s="25"/>
      <c r="W76" s="25"/>
      <c r="X76" s="25"/>
      <c r="Y76" s="25"/>
    </row>
    <row r="77" spans="1:25" ht="28.8">
      <c r="A77" s="25"/>
      <c r="B77" s="7">
        <f t="shared" ref="B77:B102" si="1">B76+1</f>
        <v>74</v>
      </c>
      <c r="C77" s="7" t="s">
        <v>249</v>
      </c>
      <c r="D77" s="7" t="s">
        <v>235</v>
      </c>
      <c r="E77" s="7"/>
      <c r="F77" s="7"/>
      <c r="G77" s="9" t="s">
        <v>212</v>
      </c>
      <c r="H77" s="9" t="s">
        <v>311</v>
      </c>
      <c r="I77" s="9" t="s">
        <v>212</v>
      </c>
      <c r="J77" s="9" t="s">
        <v>212</v>
      </c>
      <c r="K77" s="7" t="s">
        <v>212</v>
      </c>
      <c r="L77" s="25"/>
      <c r="M77" s="25"/>
      <c r="N77" s="25"/>
      <c r="O77" s="25"/>
      <c r="P77" s="25"/>
      <c r="Q77" s="25"/>
      <c r="R77" s="25"/>
      <c r="S77" s="25"/>
      <c r="T77" s="25"/>
      <c r="U77" s="25"/>
      <c r="V77" s="25"/>
      <c r="W77" s="25"/>
      <c r="X77" s="25"/>
      <c r="Y77" s="25"/>
    </row>
    <row r="78" spans="1:25" ht="28.8">
      <c r="A78" s="25"/>
      <c r="B78" s="7">
        <f t="shared" si="1"/>
        <v>75</v>
      </c>
      <c r="C78" s="7" t="s">
        <v>245</v>
      </c>
      <c r="D78" s="7" t="s">
        <v>235</v>
      </c>
      <c r="E78" s="7"/>
      <c r="F78" s="7"/>
      <c r="G78" s="9" t="s">
        <v>214</v>
      </c>
      <c r="H78" s="9" t="s">
        <v>311</v>
      </c>
      <c r="I78" s="9" t="s">
        <v>212</v>
      </c>
      <c r="J78" s="9" t="s">
        <v>212</v>
      </c>
      <c r="K78" s="7" t="s">
        <v>212</v>
      </c>
      <c r="L78" s="25"/>
      <c r="M78" s="25"/>
      <c r="N78" s="25"/>
      <c r="O78" s="25"/>
      <c r="P78" s="25"/>
      <c r="Q78" s="25"/>
      <c r="R78" s="25"/>
      <c r="S78" s="25"/>
      <c r="T78" s="25"/>
      <c r="U78" s="25"/>
      <c r="V78" s="25"/>
      <c r="W78" s="25"/>
      <c r="X78" s="25"/>
      <c r="Y78" s="25"/>
    </row>
    <row r="79" spans="1:25" ht="28.8">
      <c r="A79" s="25"/>
      <c r="B79" s="7">
        <f t="shared" si="1"/>
        <v>76</v>
      </c>
      <c r="C79" s="7" t="s">
        <v>250</v>
      </c>
      <c r="D79" s="7" t="s">
        <v>235</v>
      </c>
      <c r="E79" s="7"/>
      <c r="F79" s="7"/>
      <c r="G79" s="9" t="s">
        <v>212</v>
      </c>
      <c r="H79" s="9" t="s">
        <v>311</v>
      </c>
      <c r="I79" s="9" t="s">
        <v>212</v>
      </c>
      <c r="J79" s="9" t="s">
        <v>212</v>
      </c>
      <c r="K79" s="7" t="s">
        <v>212</v>
      </c>
      <c r="L79" s="25"/>
      <c r="M79" s="25"/>
      <c r="N79" s="25"/>
      <c r="O79" s="25"/>
      <c r="P79" s="25"/>
      <c r="Q79" s="25"/>
      <c r="R79" s="25"/>
      <c r="S79" s="25"/>
      <c r="T79" s="25"/>
      <c r="U79" s="25"/>
      <c r="V79" s="25"/>
      <c r="W79" s="25"/>
      <c r="X79" s="25"/>
      <c r="Y79" s="25"/>
    </row>
    <row r="80" spans="1:25" ht="29.4" thickBot="1">
      <c r="A80" s="25"/>
      <c r="B80" s="233">
        <f t="shared" si="1"/>
        <v>77</v>
      </c>
      <c r="C80" s="233" t="s">
        <v>246</v>
      </c>
      <c r="D80" s="233" t="s">
        <v>235</v>
      </c>
      <c r="E80" s="233"/>
      <c r="F80" s="233"/>
      <c r="G80" s="246" t="s">
        <v>214</v>
      </c>
      <c r="H80" s="246" t="s">
        <v>311</v>
      </c>
      <c r="I80" s="246" t="s">
        <v>212</v>
      </c>
      <c r="J80" s="246" t="s">
        <v>212</v>
      </c>
      <c r="K80" s="7" t="s">
        <v>212</v>
      </c>
      <c r="L80" s="25"/>
      <c r="M80" s="25"/>
      <c r="N80" s="25"/>
      <c r="O80" s="25"/>
      <c r="P80" s="25"/>
      <c r="Q80" s="25"/>
      <c r="R80" s="25"/>
      <c r="S80" s="25"/>
      <c r="T80" s="25"/>
      <c r="U80" s="25"/>
      <c r="V80" s="25"/>
      <c r="W80" s="25"/>
      <c r="X80" s="25"/>
      <c r="Y80" s="25"/>
    </row>
    <row r="81" spans="1:25">
      <c r="A81" s="25"/>
      <c r="B81" s="261">
        <f t="shared" si="1"/>
        <v>78</v>
      </c>
      <c r="C81" s="261" t="s">
        <v>269</v>
      </c>
      <c r="D81" s="261" t="s">
        <v>377</v>
      </c>
      <c r="E81" s="261"/>
      <c r="F81" s="261"/>
      <c r="G81" s="261" t="s">
        <v>214</v>
      </c>
      <c r="H81" s="556" t="s">
        <v>378</v>
      </c>
      <c r="I81" s="261" t="s">
        <v>214</v>
      </c>
      <c r="J81" s="243" t="s">
        <v>212</v>
      </c>
      <c r="K81" s="7" t="s">
        <v>212</v>
      </c>
      <c r="L81" s="25"/>
      <c r="M81" s="25"/>
      <c r="N81" s="25"/>
      <c r="O81" s="25"/>
      <c r="P81" s="25"/>
      <c r="Q81" s="25"/>
      <c r="R81" s="25"/>
      <c r="S81" s="25"/>
      <c r="T81" s="25"/>
      <c r="U81" s="25"/>
      <c r="V81" s="25"/>
      <c r="W81" s="25"/>
      <c r="X81" s="25"/>
      <c r="Y81" s="25"/>
    </row>
    <row r="82" spans="1:25">
      <c r="A82" s="25"/>
      <c r="B82" s="7">
        <f t="shared" si="1"/>
        <v>79</v>
      </c>
      <c r="C82" s="7" t="s">
        <v>268</v>
      </c>
      <c r="D82" s="7" t="s">
        <v>377</v>
      </c>
      <c r="E82" s="7"/>
      <c r="F82" s="7"/>
      <c r="G82" s="7" t="s">
        <v>214</v>
      </c>
      <c r="H82" s="9" t="s">
        <v>378</v>
      </c>
      <c r="I82" s="7" t="s">
        <v>214</v>
      </c>
      <c r="J82" s="9" t="s">
        <v>212</v>
      </c>
      <c r="K82" s="7" t="s">
        <v>212</v>
      </c>
      <c r="L82" s="25"/>
      <c r="M82" s="25"/>
      <c r="N82" s="25"/>
      <c r="O82" s="25"/>
      <c r="P82" s="25"/>
      <c r="Q82" s="25"/>
      <c r="R82" s="25"/>
      <c r="S82" s="25"/>
      <c r="T82" s="25"/>
      <c r="U82" s="25"/>
      <c r="V82" s="25"/>
      <c r="W82" s="25"/>
      <c r="X82" s="25"/>
      <c r="Y82" s="25"/>
    </row>
    <row r="83" spans="1:25" ht="15" thickBot="1">
      <c r="A83" s="25"/>
      <c r="B83" s="233">
        <f t="shared" si="1"/>
        <v>80</v>
      </c>
      <c r="C83" s="233" t="s">
        <v>270</v>
      </c>
      <c r="D83" s="233" t="s">
        <v>377</v>
      </c>
      <c r="E83" s="233"/>
      <c r="F83" s="233"/>
      <c r="G83" s="233" t="s">
        <v>212</v>
      </c>
      <c r="H83" s="557" t="s">
        <v>379</v>
      </c>
      <c r="I83" s="233" t="s">
        <v>214</v>
      </c>
      <c r="J83" s="246" t="s">
        <v>380</v>
      </c>
      <c r="K83" s="7" t="s">
        <v>212</v>
      </c>
      <c r="L83" s="25"/>
      <c r="M83" s="25"/>
      <c r="N83" s="25"/>
      <c r="O83" s="25"/>
      <c r="P83" s="25"/>
      <c r="Q83" s="25"/>
      <c r="R83" s="25"/>
      <c r="S83" s="25"/>
      <c r="T83" s="25"/>
      <c r="U83" s="25"/>
      <c r="V83" s="25"/>
      <c r="W83" s="25"/>
      <c r="X83" s="25"/>
      <c r="Y83" s="25"/>
    </row>
    <row r="84" spans="1:25">
      <c r="A84" s="25"/>
      <c r="B84" s="225">
        <f t="shared" si="1"/>
        <v>81</v>
      </c>
      <c r="C84" s="225"/>
      <c r="D84" s="225"/>
      <c r="E84" s="555"/>
      <c r="F84" s="555"/>
      <c r="G84" s="225"/>
      <c r="H84" s="394"/>
      <c r="I84" s="555"/>
      <c r="J84" s="555"/>
      <c r="K84" s="7" t="s">
        <v>212</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S75DopqFiqFCAQdMjYUGVR0lpbhGE58/s+U/rC6denGSCDWOdlq0TEXYSUAM0cVmlCp0za49+jbEiNM1hWS1gg==" saltValue="kBRhg/5CWmbwy0kh6yS1tw=="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45DC60074DD049B317E7CD00D23347" ma:contentTypeVersion="15" ma:contentTypeDescription="Create a new document." ma:contentTypeScope="" ma:versionID="ed2c14a83dc05cd8b888866f5ea122db">
  <xsd:schema xmlns:xsd="http://www.w3.org/2001/XMLSchema" xmlns:xs="http://www.w3.org/2001/XMLSchema" xmlns:p="http://schemas.microsoft.com/office/2006/metadata/properties" xmlns:ns3="2be2c850-f54f-4e44-a6b3-72861abb97a2" xmlns:ns4="129ba9f2-ec46-4979-814c-0bb9f6179669" targetNamespace="http://schemas.microsoft.com/office/2006/metadata/properties" ma:root="true" ma:fieldsID="499501186012bbcc365cfcfb075034ed" ns3:_="" ns4:_="">
    <xsd:import namespace="2be2c850-f54f-4e44-a6b3-72861abb97a2"/>
    <xsd:import namespace="129ba9f2-ec46-4979-814c-0bb9f617966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SystemTags" minOccurs="0"/>
                <xsd:element ref="ns3:MediaServiceDateTaken"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e2c850-f54f-4e44-a6b3-72861abb97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29ba9f2-ec46-4979-814c-0bb9f617966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29ba9f2-ec46-4979-814c-0bb9f6179669">
      <UserInfo>
        <DisplayName>Bird, Charlie</DisplayName>
        <AccountId>150</AccountId>
        <AccountType/>
      </UserInfo>
    </SharedWithUsers>
    <_activity xmlns="2be2c850-f54f-4e44-a6b3-72861abb97a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4EA654-ADD3-4D15-A921-C016F22B6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e2c850-f54f-4e44-a6b3-72861abb97a2"/>
    <ds:schemaRef ds:uri="129ba9f2-ec46-4979-814c-0bb9f61796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B7032-2DF6-4F5B-9CAF-D3F582EC019C}">
  <ds:schemaRefs>
    <ds:schemaRef ds:uri="http://purl.org/dc/elements/1.1/"/>
    <ds:schemaRef ds:uri="http://schemas.microsoft.com/office/2006/metadata/properties"/>
    <ds:schemaRef ds:uri="http://purl.org/dc/terms/"/>
    <ds:schemaRef ds:uri="http://purl.org/dc/dcmitype/"/>
    <ds:schemaRef ds:uri="http://schemas.microsoft.com/office/2006/documentManagement/types"/>
    <ds:schemaRef ds:uri="2be2c850-f54f-4e44-a6b3-72861abb97a2"/>
    <ds:schemaRef ds:uri="http://www.w3.org/XML/1998/namespace"/>
    <ds:schemaRef ds:uri="http://schemas.microsoft.com/office/infopath/2007/PartnerControls"/>
    <ds:schemaRef ds:uri="http://schemas.openxmlformats.org/package/2006/metadata/core-properties"/>
    <ds:schemaRef ds:uri="129ba9f2-ec46-4979-814c-0bb9f6179669"/>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47</vt:i4>
      </vt:variant>
    </vt:vector>
  </HeadingPairs>
  <TitlesOfParts>
    <vt:vector size="59"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lpstr>'1. Introduction'!Yazdırma_Alanı</vt:lpstr>
      <vt:lpstr>'2. Site Details'!Yazdırma_Alanı</vt:lpstr>
      <vt:lpstr>'3. Desktop Assessment'!Yazdırma_Alanı</vt:lpstr>
      <vt:lpstr>'4. Supporting Information'!Yazdırma_Alanı</vt:lpstr>
      <vt:lpstr>'5. Area Habitats'!Yazdırma_Alanı</vt:lpstr>
      <vt:lpstr>'6. Hedges &amp; Lines of Trees'!Yazdırma_Alanı</vt:lpstr>
      <vt:lpstr>'7. Watercourses'!Yazdırma_Alanı</vt:lpstr>
      <vt:lpstr>'8. Headline Results'!Yazdırma_Alanı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seyma dilber</cp:lastModifiedBy>
  <cp:revision/>
  <cp:lastPrinted>2024-02-22T20:21:44Z</cp:lastPrinted>
  <dcterms:created xsi:type="dcterms:W3CDTF">2020-09-14T13:04:31Z</dcterms:created>
  <dcterms:modified xsi:type="dcterms:W3CDTF">2024-02-22T20:22:19Z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0x010100F445DC60074DD049B317E7CD00D23347</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