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d.docs.live.net/c08010a4da00818f/Documents/Alpine/David Sims/Moffatt - Church Street^J Weldon/Application - 1 Dwelling/Submission Documents/"/>
    </mc:Choice>
  </mc:AlternateContent>
  <xr:revisionPtr revIDLastSave="0" documentId="8_{7B8FF20A-5985-4DB3-A02A-27634477AC4D}" xr6:coauthVersionLast="47" xr6:coauthVersionMax="47" xr10:uidLastSave="{00000000-0000-0000-0000-000000000000}"/>
  <bookViews>
    <workbookView xWindow="-120" yWindow="-120" windowWidth="29040" windowHeight="16440" tabRatio="730" activeTab="4" xr2:uid="{29E6C19A-7B8C-4DEC-93E8-BE5BF8A93D58}"/>
  </bookViews>
  <sheets>
    <sheet name="1. Introduction" sheetId="14" r:id="rId1"/>
    <sheet name="2. Site Details" sheetId="15" r:id="rId2"/>
    <sheet name="3. Desktop Assessment" sheetId="10" r:id="rId3"/>
    <sheet name="4. Supporting Information" sheetId="18" r:id="rId4"/>
    <sheet name="5. Area Habitats" sheetId="1" r:id="rId5"/>
    <sheet name="6. Hedges &amp; Lines of Trees" sheetId="21" r:id="rId6"/>
    <sheet name="7. Watercourses" sheetId="22" r:id="rId7"/>
    <sheet name="8. Headline Results" sheetId="11" r:id="rId8"/>
    <sheet name="9. All Habitats + Multipliers" sheetId="12" r:id="rId9"/>
    <sheet name="10. Condition and Temporal" sheetId="20" r:id="rId10"/>
    <sheet name="11. Lists" sheetId="4" r:id="rId11"/>
    <sheet name="13. Habitats Translation" sheetId="19" state="hidden" r:id="rId12"/>
  </sheets>
  <externalReferences>
    <externalReference r:id="rId13"/>
  </externalReferences>
  <definedNames>
    <definedName name="_xlnm._FilterDatabase" localSheetId="9" hidden="1">'10. Condition and Temporal'!$C$4:$M$85</definedName>
    <definedName name="_xlnm._FilterDatabase" localSheetId="11" hidden="1">'13. Habitats Translation'!$B$2:$F$83</definedName>
    <definedName name="_xlnm._FilterDatabase" localSheetId="8" hidden="1">'9. All Habitats + Multipliers'!$C$3:$J$91</definedName>
    <definedName name="CoastalSaltmarsh" localSheetId="5">Table15[Coastalsaltmarsh]</definedName>
    <definedName name="CoastalSaltmarsh" localSheetId="6">Table15[Coastalsaltmarsh]</definedName>
    <definedName name="CoastalSaltmarsh">Table15[Coastalsaltmarsh]</definedName>
    <definedName name="Cropland" localSheetId="5">Table2[Cropland]</definedName>
    <definedName name="Cropland" localSheetId="6">Table2[Cropland]</definedName>
    <definedName name="Cropland">Table2[Cropland]</definedName>
    <definedName name="Grassland" localSheetId="5">Table3[Grassland]</definedName>
    <definedName name="Grassland" localSheetId="6">Table3[Grassland]</definedName>
    <definedName name="Grassland">Table3[Grassland]</definedName>
    <definedName name="Heathlandandshrub" localSheetId="5">Table4[Heathlandandshrub]</definedName>
    <definedName name="Heathlandandshrub" localSheetId="6">Table4[Heathlandandshrub]</definedName>
    <definedName name="Heathlandandshrub">Table4[Heathlandandshrub]</definedName>
    <definedName name="Hedgerow">Table11[HedgerowsandLinesoftrees]</definedName>
    <definedName name="HedgerowsandLinesofTrees">Table11[HedgerowsandLinesoftrees]</definedName>
    <definedName name="Intertidalhardstructures" localSheetId="5">Table5[Intertidalhardstructures]</definedName>
    <definedName name="Intertidalhardstructures" localSheetId="6">Table5[Intertidalhardstructures]</definedName>
    <definedName name="Intertidalhardstructures">Table5[Intertidalhardstructures]</definedName>
    <definedName name="Intertidalsediment" localSheetId="5">Table6[Intertidalsediment]</definedName>
    <definedName name="Intertidalsediment" localSheetId="6">Table6[Intertidalsediment]</definedName>
    <definedName name="Intertidalsediment">Table6[Intertidalsediment]</definedName>
    <definedName name="Lakes" localSheetId="5">Table7[Lakes]</definedName>
    <definedName name="Lakes" localSheetId="6">Table7[Lakes]</definedName>
    <definedName name="Lakes">Table7[Lakes]</definedName>
    <definedName name="Lineoftrees" localSheetId="5">Table12[Lineoftrees]</definedName>
    <definedName name="Lineoftrees" localSheetId="6">Table12[Lineoftrees]</definedName>
    <definedName name="Lineoftrees">Table12[Lineoftrees]</definedName>
    <definedName name="_xlnm.Print_Area" localSheetId="0">'1. Introduction'!$B$1:$S$36</definedName>
    <definedName name="_xlnm.Print_Area" localSheetId="1">'2. Site Details'!$B$2:$D$23</definedName>
    <definedName name="_xlnm.Print_Area" localSheetId="2">'3. Desktop Assessment'!$B$2:$D$20</definedName>
    <definedName name="_xlnm.Print_Area" localSheetId="3">'4. Supporting Information'!$B$2:$E$47</definedName>
    <definedName name="_xlnm.Print_Area" localSheetId="4">'5. Area Habitats'!$A$2:$Q$140</definedName>
    <definedName name="_xlnm.Print_Area" localSheetId="5">'6. Hedges &amp; Lines of Trees'!$A$1:$Q$111</definedName>
    <definedName name="_xlnm.Print_Area" localSheetId="6">'7. Watercourses'!$A$1:$Q$109</definedName>
    <definedName name="_xlnm.Print_Area" localSheetId="7">'8. Headline Results'!$B$2:$D$49</definedName>
    <definedName name="Rivers" localSheetId="5">Table13[Watercourses]</definedName>
    <definedName name="Rivers" localSheetId="6">Table13[Watercourses]</definedName>
    <definedName name="Rivers">Table13[Watercourses]</definedName>
    <definedName name="Sparselyvegetatedland" localSheetId="5">Table8[Sparselyvegetatedland]</definedName>
    <definedName name="Sparselyvegetatedland" localSheetId="6">Table8[Sparselyvegetatedland]</definedName>
    <definedName name="Sparselyvegetatedland">Table8[Sparselyvegetatedland]</definedName>
    <definedName name="TemporalConditions">'[1]G-4 Temporal multipliers'!$F$3:$M$3</definedName>
    <definedName name="TemporalData">'[1]G-4 Temporal multipliers'!$F$3:$M$138</definedName>
    <definedName name="TemporalHabitats">'[1]G-4 Temporal multipliers'!$F$3:$F$138</definedName>
    <definedName name="Urban" localSheetId="5">Table9[Urban]</definedName>
    <definedName name="Urban" localSheetId="6">Table9[Urban]</definedName>
    <definedName name="Urban">Table9[Urban]</definedName>
    <definedName name="Watercourses">'11. Lists'!$Y$2:$Y$4</definedName>
    <definedName name="Woodlandandforest" localSheetId="5">Table10[Woodlandandforest]</definedName>
    <definedName name="Woodlandandforest" localSheetId="6">Table10[Woodlandandforest]</definedName>
    <definedName name="Woodlandandforest">Table10[Woodlandandforest]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0" l="1"/>
  <c r="D6" i="10"/>
  <c r="D7" i="10" s="1"/>
  <c r="B9" i="10"/>
  <c r="D9" i="10" s="1"/>
  <c r="M67" i="22" l="1"/>
  <c r="M68" i="22"/>
  <c r="M69" i="22"/>
  <c r="M70" i="22"/>
  <c r="M71" i="22"/>
  <c r="M72" i="22"/>
  <c r="M73" i="22"/>
  <c r="M74" i="22"/>
  <c r="M75" i="22"/>
  <c r="M76" i="22"/>
  <c r="M77" i="22"/>
  <c r="M78" i="22"/>
  <c r="M79" i="22"/>
  <c r="M80" i="22"/>
  <c r="M81" i="22"/>
  <c r="M82" i="22"/>
  <c r="M83" i="22"/>
  <c r="M84" i="22"/>
  <c r="M85" i="22"/>
  <c r="M66" i="22"/>
  <c r="J67" i="21"/>
  <c r="J68" i="21"/>
  <c r="J69" i="21"/>
  <c r="J70" i="21"/>
  <c r="J71" i="21"/>
  <c r="J72" i="21"/>
  <c r="J73" i="21"/>
  <c r="J74" i="21"/>
  <c r="J75" i="21"/>
  <c r="J76" i="21"/>
  <c r="J77" i="21"/>
  <c r="J78" i="21"/>
  <c r="J79" i="21"/>
  <c r="J80" i="21"/>
  <c r="J81" i="21"/>
  <c r="J82" i="21"/>
  <c r="J83" i="21"/>
  <c r="J84" i="21"/>
  <c r="J85" i="21"/>
  <c r="J66" i="21"/>
  <c r="E100" i="1" l="1"/>
  <c r="L13" i="1"/>
  <c r="L14" i="1"/>
  <c r="L15" i="1"/>
  <c r="L16" i="1"/>
  <c r="L17" i="1"/>
  <c r="L18" i="1"/>
  <c r="L19" i="1"/>
  <c r="L20" i="1"/>
  <c r="L21" i="1"/>
  <c r="L22" i="1"/>
  <c r="L23" i="1"/>
  <c r="L24" i="1"/>
  <c r="L25" i="1"/>
  <c r="L26" i="1"/>
  <c r="L27" i="1"/>
  <c r="L28" i="1"/>
  <c r="L29" i="1"/>
  <c r="L30" i="1"/>
  <c r="J69" i="1"/>
  <c r="J70" i="1"/>
  <c r="J71" i="1"/>
  <c r="J72" i="1"/>
  <c r="J73" i="1"/>
  <c r="J74" i="1"/>
  <c r="J75" i="1"/>
  <c r="J76" i="1"/>
  <c r="J77" i="1"/>
  <c r="J78" i="1"/>
  <c r="J79" i="1"/>
  <c r="J80" i="1"/>
  <c r="J81" i="1"/>
  <c r="J82" i="1"/>
  <c r="J83" i="1"/>
  <c r="J84" i="1"/>
  <c r="J85" i="1"/>
  <c r="J86" i="1"/>
  <c r="J87" i="1"/>
  <c r="J68" i="1"/>
  <c r="B8" i="10"/>
  <c r="D17" i="10"/>
  <c r="L40" i="22" l="1"/>
  <c r="L41" i="22"/>
  <c r="L42" i="22"/>
  <c r="L43" i="22"/>
  <c r="L44" i="22"/>
  <c r="L45" i="22"/>
  <c r="L46" i="22"/>
  <c r="L47" i="22"/>
  <c r="L48" i="22"/>
  <c r="L49" i="22"/>
  <c r="L50" i="22"/>
  <c r="L51" i="22"/>
  <c r="L52" i="22"/>
  <c r="L53" i="22"/>
  <c r="L54" i="22"/>
  <c r="L55" i="22"/>
  <c r="L56" i="22"/>
  <c r="L57" i="22"/>
  <c r="L58" i="22"/>
  <c r="L39" i="22"/>
  <c r="L12" i="22"/>
  <c r="L13" i="22"/>
  <c r="L14" i="22"/>
  <c r="L15" i="22"/>
  <c r="L16" i="22"/>
  <c r="L17" i="22"/>
  <c r="L18" i="22"/>
  <c r="L19" i="22"/>
  <c r="L20" i="22"/>
  <c r="L21" i="22"/>
  <c r="L22" i="22"/>
  <c r="L23" i="22"/>
  <c r="L24" i="22"/>
  <c r="L25" i="22"/>
  <c r="L26" i="22"/>
  <c r="L27" i="22"/>
  <c r="L28" i="22"/>
  <c r="L29" i="22"/>
  <c r="L30" i="22"/>
  <c r="L11" i="22"/>
  <c r="L40" i="21"/>
  <c r="L41" i="21"/>
  <c r="L42" i="21"/>
  <c r="L43" i="21"/>
  <c r="L44" i="21"/>
  <c r="L45" i="21"/>
  <c r="L46" i="21"/>
  <c r="L47" i="21"/>
  <c r="L48" i="21"/>
  <c r="L49" i="21"/>
  <c r="L50" i="21"/>
  <c r="L51" i="21"/>
  <c r="L52" i="21"/>
  <c r="L53" i="21"/>
  <c r="L54" i="21"/>
  <c r="L55" i="21"/>
  <c r="L56" i="21"/>
  <c r="L57" i="21"/>
  <c r="L58" i="21"/>
  <c r="L39" i="21"/>
  <c r="L12" i="21"/>
  <c r="L13" i="21"/>
  <c r="L14" i="21"/>
  <c r="L15" i="21"/>
  <c r="L16" i="21"/>
  <c r="L17" i="21"/>
  <c r="L18" i="21"/>
  <c r="L19" i="21"/>
  <c r="L20" i="21"/>
  <c r="L21" i="21"/>
  <c r="L22" i="21"/>
  <c r="L23" i="21"/>
  <c r="L24" i="21"/>
  <c r="L25" i="21"/>
  <c r="L26" i="21"/>
  <c r="L27" i="21"/>
  <c r="L28" i="21"/>
  <c r="L29" i="21"/>
  <c r="L30" i="21"/>
  <c r="L41" i="1"/>
  <c r="L42" i="1"/>
  <c r="L43" i="1"/>
  <c r="L44" i="1"/>
  <c r="L45" i="1"/>
  <c r="L46" i="1"/>
  <c r="L47" i="1"/>
  <c r="L48" i="1"/>
  <c r="L49" i="1"/>
  <c r="L51" i="1"/>
  <c r="L53" i="1"/>
  <c r="L54" i="1"/>
  <c r="L55" i="1"/>
  <c r="L56" i="1"/>
  <c r="L57" i="1"/>
  <c r="L58" i="1"/>
  <c r="T40" i="21" l="1"/>
  <c r="T41" i="21"/>
  <c r="T42" i="21"/>
  <c r="T43" i="21"/>
  <c r="T44" i="21"/>
  <c r="T45" i="21"/>
  <c r="T46" i="21"/>
  <c r="T47" i="21"/>
  <c r="T48" i="21"/>
  <c r="T49" i="21"/>
  <c r="T50" i="21"/>
  <c r="T51" i="21"/>
  <c r="T52" i="21"/>
  <c r="T53" i="21"/>
  <c r="T54" i="21"/>
  <c r="T55" i="21"/>
  <c r="T56" i="21"/>
  <c r="T57" i="21"/>
  <c r="T58" i="21"/>
  <c r="T39" i="21"/>
  <c r="W30" i="21"/>
  <c r="W12" i="21"/>
  <c r="W13" i="21"/>
  <c r="W14" i="21"/>
  <c r="W15" i="21"/>
  <c r="W16" i="21"/>
  <c r="W17" i="21"/>
  <c r="W18" i="21"/>
  <c r="W19" i="21"/>
  <c r="W20" i="21"/>
  <c r="W21" i="21"/>
  <c r="W22" i="21"/>
  <c r="W23" i="21"/>
  <c r="W24" i="21"/>
  <c r="W25" i="21"/>
  <c r="W26" i="21"/>
  <c r="W27" i="21"/>
  <c r="W28" i="21"/>
  <c r="W29" i="21"/>
  <c r="W11" i="21"/>
  <c r="T12" i="21"/>
  <c r="T13" i="21"/>
  <c r="T14" i="21"/>
  <c r="T15" i="21"/>
  <c r="T16" i="21"/>
  <c r="T17" i="21"/>
  <c r="T18" i="21"/>
  <c r="T19" i="21"/>
  <c r="T20" i="21"/>
  <c r="T21" i="21"/>
  <c r="T22" i="21"/>
  <c r="T23" i="21"/>
  <c r="T24" i="21"/>
  <c r="T25" i="21"/>
  <c r="T26" i="21"/>
  <c r="T27" i="21"/>
  <c r="T28" i="21"/>
  <c r="T29" i="21"/>
  <c r="T30" i="21"/>
  <c r="T11" i="21"/>
  <c r="I32" i="1"/>
  <c r="I35" i="1" s="1"/>
  <c r="F105" i="21" l="1"/>
  <c r="J88" i="1" l="1"/>
  <c r="F106" i="21"/>
  <c r="F133" i="1" l="1"/>
  <c r="I133" i="1" s="1"/>
  <c r="J133" i="1" s="1"/>
  <c r="F132" i="1"/>
  <c r="T31" i="1"/>
  <c r="B55" i="12"/>
  <c r="B54" i="12"/>
  <c r="L96" i="1"/>
  <c r="I67" i="22"/>
  <c r="I68" i="22"/>
  <c r="I69" i="22"/>
  <c r="I70" i="22"/>
  <c r="I71" i="22"/>
  <c r="I72" i="22"/>
  <c r="I73" i="22"/>
  <c r="I74" i="22"/>
  <c r="I75" i="22"/>
  <c r="I76" i="22"/>
  <c r="I77" i="22"/>
  <c r="I78" i="22"/>
  <c r="I79" i="22"/>
  <c r="I80" i="22"/>
  <c r="I81" i="22"/>
  <c r="I82" i="22"/>
  <c r="I83" i="22"/>
  <c r="I84" i="22"/>
  <c r="I85" i="22"/>
  <c r="I66" i="22"/>
  <c r="D67" i="22"/>
  <c r="D68" i="22"/>
  <c r="D69" i="22"/>
  <c r="D70" i="22"/>
  <c r="D71" i="22"/>
  <c r="D72" i="22"/>
  <c r="D73" i="22"/>
  <c r="D74" i="22"/>
  <c r="D75" i="22"/>
  <c r="D76" i="22"/>
  <c r="D77" i="22"/>
  <c r="D78" i="22"/>
  <c r="D79" i="22"/>
  <c r="D80" i="22"/>
  <c r="D81" i="22"/>
  <c r="D82" i="22"/>
  <c r="D83" i="22"/>
  <c r="D84" i="22"/>
  <c r="D85" i="22"/>
  <c r="D66" i="22"/>
  <c r="I67" i="21"/>
  <c r="I68" i="21"/>
  <c r="I69" i="21"/>
  <c r="I70" i="21"/>
  <c r="I71" i="21"/>
  <c r="I72" i="21"/>
  <c r="I73" i="21"/>
  <c r="I74" i="21"/>
  <c r="I75" i="21"/>
  <c r="I76" i="21"/>
  <c r="I77" i="21"/>
  <c r="I78" i="21"/>
  <c r="I79" i="21"/>
  <c r="I80" i="21"/>
  <c r="I81" i="21"/>
  <c r="I82" i="21"/>
  <c r="I83" i="21"/>
  <c r="I84" i="21"/>
  <c r="I85" i="21"/>
  <c r="I66" i="21"/>
  <c r="D67" i="21"/>
  <c r="D68" i="21"/>
  <c r="D69" i="21"/>
  <c r="D70" i="21"/>
  <c r="D71" i="21"/>
  <c r="D72" i="21"/>
  <c r="D73" i="21"/>
  <c r="D74" i="21"/>
  <c r="D75" i="21"/>
  <c r="D76" i="21"/>
  <c r="D77" i="21"/>
  <c r="D78" i="21"/>
  <c r="D79" i="21"/>
  <c r="D80" i="21"/>
  <c r="D81" i="21"/>
  <c r="D82" i="21"/>
  <c r="D83" i="21"/>
  <c r="D84" i="21"/>
  <c r="D85" i="21"/>
  <c r="D66" i="21"/>
  <c r="AG66" i="21" s="1"/>
  <c r="AH66" i="21" s="1"/>
  <c r="I69" i="1"/>
  <c r="I70" i="1"/>
  <c r="I71" i="1"/>
  <c r="I72" i="1"/>
  <c r="I73" i="1"/>
  <c r="I74" i="1"/>
  <c r="I75" i="1"/>
  <c r="I76" i="1"/>
  <c r="I77" i="1"/>
  <c r="I78" i="1"/>
  <c r="I79" i="1"/>
  <c r="I80" i="1"/>
  <c r="I81" i="1"/>
  <c r="I82" i="1"/>
  <c r="I83" i="1"/>
  <c r="I84" i="1"/>
  <c r="I85" i="1"/>
  <c r="I86" i="1"/>
  <c r="I87" i="1"/>
  <c r="D69" i="1"/>
  <c r="L69" i="1" s="1"/>
  <c r="D70" i="1"/>
  <c r="L70" i="1" s="1"/>
  <c r="D71" i="1"/>
  <c r="L71" i="1" s="1"/>
  <c r="D72" i="1"/>
  <c r="L72" i="1" s="1"/>
  <c r="D73" i="1"/>
  <c r="D74" i="1"/>
  <c r="L74" i="1" s="1"/>
  <c r="D75" i="1"/>
  <c r="D76" i="1"/>
  <c r="D77" i="1"/>
  <c r="D78" i="1"/>
  <c r="D79" i="1"/>
  <c r="D80" i="1"/>
  <c r="D81" i="1"/>
  <c r="D82" i="1"/>
  <c r="D83" i="1"/>
  <c r="D84" i="1"/>
  <c r="D85" i="1"/>
  <c r="D86" i="1"/>
  <c r="D87" i="1"/>
  <c r="I68" i="1"/>
  <c r="D68" i="1"/>
  <c r="F134" i="1" l="1"/>
  <c r="D12" i="10"/>
  <c r="D11" i="10"/>
  <c r="E40" i="1" l="1"/>
  <c r="U68" i="22"/>
  <c r="U69" i="22"/>
  <c r="U70" i="22"/>
  <c r="U71" i="22"/>
  <c r="U72" i="22"/>
  <c r="U73" i="22"/>
  <c r="U74" i="22"/>
  <c r="U75" i="22"/>
  <c r="U76" i="22"/>
  <c r="U77" i="22"/>
  <c r="U78" i="22"/>
  <c r="U79" i="22"/>
  <c r="U80" i="22"/>
  <c r="U81" i="22"/>
  <c r="U82" i="22"/>
  <c r="U83" i="22"/>
  <c r="U84" i="22"/>
  <c r="U85" i="22"/>
  <c r="T12" i="22"/>
  <c r="V12" i="22" s="1"/>
  <c r="T13" i="22"/>
  <c r="V13" i="22" s="1"/>
  <c r="T14" i="22"/>
  <c r="V14" i="22" s="1"/>
  <c r="T15" i="22"/>
  <c r="V15" i="22" s="1"/>
  <c r="T16" i="22"/>
  <c r="V16" i="22" s="1"/>
  <c r="T17" i="22"/>
  <c r="V17" i="22" s="1"/>
  <c r="T18" i="22"/>
  <c r="V18" i="22" s="1"/>
  <c r="T19" i="22"/>
  <c r="V19" i="22" s="1"/>
  <c r="T20" i="22"/>
  <c r="V20" i="22" s="1"/>
  <c r="T21" i="22"/>
  <c r="V21" i="22" s="1"/>
  <c r="T22" i="22"/>
  <c r="V22" i="22" s="1"/>
  <c r="T23" i="22"/>
  <c r="V23" i="22" s="1"/>
  <c r="T24" i="22"/>
  <c r="V24" i="22" s="1"/>
  <c r="T25" i="22"/>
  <c r="V25" i="22" s="1"/>
  <c r="T26" i="22"/>
  <c r="V26" i="22" s="1"/>
  <c r="T27" i="22"/>
  <c r="V27" i="22" s="1"/>
  <c r="T28" i="22"/>
  <c r="V28" i="22" s="1"/>
  <c r="T29" i="22"/>
  <c r="V29" i="22" s="1"/>
  <c r="T30" i="22"/>
  <c r="V30" i="22" s="1"/>
  <c r="T40" i="22"/>
  <c r="V40" i="22" s="1"/>
  <c r="T41" i="22"/>
  <c r="V41" i="22" s="1"/>
  <c r="T42" i="22"/>
  <c r="V42" i="22" s="1"/>
  <c r="T43" i="22"/>
  <c r="V43" i="22" s="1"/>
  <c r="T44" i="22"/>
  <c r="V44" i="22" s="1"/>
  <c r="T45" i="22"/>
  <c r="V45" i="22" s="1"/>
  <c r="T46" i="22"/>
  <c r="V46" i="22" s="1"/>
  <c r="T47" i="22"/>
  <c r="V47" i="22" s="1"/>
  <c r="T48" i="22"/>
  <c r="V48" i="22" s="1"/>
  <c r="T49" i="22"/>
  <c r="V49" i="22" s="1"/>
  <c r="T50" i="22"/>
  <c r="V50" i="22" s="1"/>
  <c r="T51" i="22"/>
  <c r="V51" i="22" s="1"/>
  <c r="T52" i="22"/>
  <c r="V52" i="22" s="1"/>
  <c r="T53" i="22"/>
  <c r="V53" i="22" s="1"/>
  <c r="T54" i="22"/>
  <c r="V54" i="22" s="1"/>
  <c r="T55" i="22"/>
  <c r="V55" i="22" s="1"/>
  <c r="T56" i="22"/>
  <c r="V56" i="22" s="1"/>
  <c r="T57" i="22"/>
  <c r="V57" i="22" s="1"/>
  <c r="T58" i="22"/>
  <c r="V58" i="22" s="1"/>
  <c r="U67" i="21"/>
  <c r="U68" i="21"/>
  <c r="U69" i="21"/>
  <c r="U70" i="21"/>
  <c r="U71" i="21"/>
  <c r="U72" i="21"/>
  <c r="U73" i="21"/>
  <c r="U74" i="21"/>
  <c r="U75" i="21"/>
  <c r="U76" i="21"/>
  <c r="U77" i="21"/>
  <c r="U78" i="21"/>
  <c r="U79" i="21"/>
  <c r="U80" i="21"/>
  <c r="U81" i="21"/>
  <c r="U82" i="21"/>
  <c r="U83" i="21"/>
  <c r="U84" i="21"/>
  <c r="U85" i="21"/>
  <c r="U84" i="1"/>
  <c r="U85" i="1"/>
  <c r="U86" i="1"/>
  <c r="U87" i="1"/>
  <c r="B9" i="12"/>
  <c r="B10" i="12" s="1"/>
  <c r="B11" i="12" s="1"/>
  <c r="B12" i="12" s="1"/>
  <c r="B13" i="12" s="1"/>
  <c r="B14" i="12" s="1"/>
  <c r="B15" i="12" s="1"/>
  <c r="B16" i="12" s="1"/>
  <c r="B17" i="12" s="1"/>
  <c r="B18" i="12" s="1"/>
  <c r="B19" i="12" s="1"/>
  <c r="B20" i="12" s="1"/>
  <c r="B21" i="12" s="1"/>
  <c r="B22" i="12" s="1"/>
  <c r="B23" i="12" s="1"/>
  <c r="B24" i="12" s="1"/>
  <c r="B25" i="12" s="1"/>
  <c r="B26" i="12" s="1"/>
  <c r="AE40" i="22"/>
  <c r="AE41" i="22"/>
  <c r="AE42" i="22"/>
  <c r="AE43" i="22"/>
  <c r="AE44" i="22"/>
  <c r="AE45" i="22"/>
  <c r="AE46" i="22"/>
  <c r="AE47" i="22"/>
  <c r="AE48" i="22"/>
  <c r="AE49" i="22"/>
  <c r="AE50" i="22"/>
  <c r="AE51" i="22"/>
  <c r="AE52" i="22"/>
  <c r="AE53" i="22"/>
  <c r="AE54" i="22"/>
  <c r="AE55" i="22"/>
  <c r="AE56" i="22"/>
  <c r="AE57" i="22"/>
  <c r="AE58" i="22"/>
  <c r="AE39" i="22"/>
  <c r="AE40" i="21"/>
  <c r="AE41" i="21"/>
  <c r="AE42" i="21"/>
  <c r="AE43" i="21"/>
  <c r="AE44" i="21"/>
  <c r="AE45" i="21"/>
  <c r="AE46" i="21"/>
  <c r="AE47" i="21"/>
  <c r="AE48" i="21"/>
  <c r="AE49" i="21"/>
  <c r="AE50" i="21"/>
  <c r="AE51" i="21"/>
  <c r="AE52" i="21"/>
  <c r="AE53" i="21"/>
  <c r="AE54" i="21"/>
  <c r="AE55" i="21"/>
  <c r="AE56" i="21"/>
  <c r="AE57" i="21"/>
  <c r="AE58" i="21"/>
  <c r="AE39" i="21"/>
  <c r="V40" i="21"/>
  <c r="V41" i="21"/>
  <c r="V42" i="21"/>
  <c r="V43" i="21"/>
  <c r="V44" i="21"/>
  <c r="V45" i="21"/>
  <c r="V46" i="21"/>
  <c r="V47" i="21"/>
  <c r="V48" i="21"/>
  <c r="V49" i="21"/>
  <c r="V50" i="21"/>
  <c r="V51" i="21"/>
  <c r="V52" i="21"/>
  <c r="V53" i="21"/>
  <c r="V54" i="21"/>
  <c r="V55" i="21"/>
  <c r="V56" i="21"/>
  <c r="V57" i="21"/>
  <c r="V58" i="21"/>
  <c r="AH13" i="21"/>
  <c r="V14" i="21"/>
  <c r="V15" i="21"/>
  <c r="AH16" i="21"/>
  <c r="AH17" i="21"/>
  <c r="AH18" i="21"/>
  <c r="V19" i="21"/>
  <c r="V20" i="21"/>
  <c r="AH21" i="21"/>
  <c r="V22" i="21"/>
  <c r="V23" i="21"/>
  <c r="AH24" i="21"/>
  <c r="AH25" i="21"/>
  <c r="AH26" i="21"/>
  <c r="V27" i="21"/>
  <c r="V28" i="21"/>
  <c r="AH29" i="21"/>
  <c r="V30" i="21"/>
  <c r="B27" i="12" l="1"/>
  <c r="B28" i="12" s="1"/>
  <c r="B29" i="12" s="1"/>
  <c r="B30" i="12" s="1"/>
  <c r="B31" i="12" s="1"/>
  <c r="B32" i="12" s="1"/>
  <c r="V25" i="21"/>
  <c r="V17" i="21"/>
  <c r="V24" i="21"/>
  <c r="AH19" i="21"/>
  <c r="V16" i="21"/>
  <c r="AH28" i="21"/>
  <c r="AH27" i="21"/>
  <c r="AH20" i="21"/>
  <c r="V29" i="21"/>
  <c r="V21" i="21"/>
  <c r="V13" i="21"/>
  <c r="AH23" i="21"/>
  <c r="AH15" i="21"/>
  <c r="AH30" i="21"/>
  <c r="AH22" i="21"/>
  <c r="AH14" i="21"/>
  <c r="V26" i="21"/>
  <c r="V18" i="21"/>
  <c r="B33" i="12" l="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T49" i="1"/>
  <c r="V49" i="1" s="1"/>
  <c r="T50" i="1"/>
  <c r="V50" i="1" s="1"/>
  <c r="T51" i="1"/>
  <c r="V51" i="1" s="1"/>
  <c r="T52" i="1"/>
  <c r="V52" i="1" s="1"/>
  <c r="T53" i="1"/>
  <c r="V53" i="1" s="1"/>
  <c r="T54" i="1"/>
  <c r="V54" i="1" s="1"/>
  <c r="T55" i="1"/>
  <c r="V55" i="1" s="1"/>
  <c r="T56" i="1"/>
  <c r="V56" i="1" s="1"/>
  <c r="T57" i="1"/>
  <c r="V57" i="1" s="1"/>
  <c r="T58" i="1"/>
  <c r="V58" i="1" s="1"/>
  <c r="T59" i="1"/>
  <c r="V59" i="1" s="1"/>
  <c r="T41" i="1"/>
  <c r="V41" i="1" s="1"/>
  <c r="T42" i="1"/>
  <c r="V42" i="1" s="1"/>
  <c r="T43" i="1"/>
  <c r="V43" i="1" s="1"/>
  <c r="T44" i="1"/>
  <c r="V44" i="1" s="1"/>
  <c r="T45" i="1"/>
  <c r="V45" i="1" s="1"/>
  <c r="T46" i="1"/>
  <c r="V46" i="1" s="1"/>
  <c r="T47" i="1"/>
  <c r="V47" i="1" s="1"/>
  <c r="T48" i="1"/>
  <c r="V48" i="1" s="1"/>
  <c r="T12" i="1"/>
  <c r="T13" i="1"/>
  <c r="U70" i="1" s="1"/>
  <c r="T14" i="1"/>
  <c r="T15" i="1"/>
  <c r="U72" i="1" s="1"/>
  <c r="T16" i="1"/>
  <c r="U73" i="1" s="1"/>
  <c r="T17" i="1"/>
  <c r="U74" i="1" s="1"/>
  <c r="T18" i="1"/>
  <c r="U75" i="1" s="1"/>
  <c r="T19" i="1"/>
  <c r="U76" i="1" s="1"/>
  <c r="T20" i="1"/>
  <c r="U77" i="1" s="1"/>
  <c r="T21" i="1"/>
  <c r="U78" i="1" s="1"/>
  <c r="T22" i="1"/>
  <c r="U79" i="1" s="1"/>
  <c r="T23" i="1"/>
  <c r="U80" i="1" s="1"/>
  <c r="T24" i="1"/>
  <c r="U81" i="1" s="1"/>
  <c r="T25" i="1"/>
  <c r="U82" i="1" s="1"/>
  <c r="T26" i="1"/>
  <c r="U83" i="1" s="1"/>
  <c r="T27" i="1"/>
  <c r="T28" i="1"/>
  <c r="T29" i="1"/>
  <c r="T30" i="1"/>
  <c r="AS68" i="22"/>
  <c r="AS69" i="22"/>
  <c r="AS70" i="22"/>
  <c r="AS71" i="22"/>
  <c r="AS72" i="22"/>
  <c r="AS73" i="22"/>
  <c r="AS74" i="22"/>
  <c r="AS75" i="22"/>
  <c r="AS76" i="22"/>
  <c r="AS77" i="22"/>
  <c r="AS78" i="22"/>
  <c r="AS79" i="22"/>
  <c r="AS80" i="22"/>
  <c r="AS81" i="22"/>
  <c r="AS82" i="22"/>
  <c r="AS83" i="22"/>
  <c r="AS84" i="22"/>
  <c r="AS85" i="22"/>
  <c r="AQ68" i="22"/>
  <c r="AQ69" i="22"/>
  <c r="AQ70" i="22"/>
  <c r="AQ71" i="22"/>
  <c r="AQ72" i="22"/>
  <c r="AQ73" i="22"/>
  <c r="AQ74" i="22"/>
  <c r="AQ75" i="22"/>
  <c r="AQ76" i="22"/>
  <c r="AQ77" i="22"/>
  <c r="AQ78" i="22"/>
  <c r="AQ79" i="22"/>
  <c r="AQ80" i="22"/>
  <c r="AQ81" i="22"/>
  <c r="AQ82" i="22"/>
  <c r="AQ83" i="22"/>
  <c r="AQ84" i="22"/>
  <c r="AQ85" i="22"/>
  <c r="AS67" i="21"/>
  <c r="AS68" i="21"/>
  <c r="AS69" i="21"/>
  <c r="AS70" i="21"/>
  <c r="AS71" i="21"/>
  <c r="AS72" i="21"/>
  <c r="AS73" i="21"/>
  <c r="AS74" i="21"/>
  <c r="AS75" i="21"/>
  <c r="AS76" i="21"/>
  <c r="AS77" i="21"/>
  <c r="AS78" i="21"/>
  <c r="AS79" i="21"/>
  <c r="AS80" i="21"/>
  <c r="AS81" i="21"/>
  <c r="AS82" i="21"/>
  <c r="AS83" i="21"/>
  <c r="AS84" i="21"/>
  <c r="AS85" i="21"/>
  <c r="AQ67" i="21"/>
  <c r="AQ68" i="21"/>
  <c r="AQ69" i="21"/>
  <c r="AQ70" i="21"/>
  <c r="AQ71" i="21"/>
  <c r="AQ72" i="21"/>
  <c r="AQ73" i="21"/>
  <c r="AQ74" i="21"/>
  <c r="AQ75" i="21"/>
  <c r="AQ76" i="21"/>
  <c r="AQ77" i="21"/>
  <c r="AQ78" i="21"/>
  <c r="AQ79" i="21"/>
  <c r="AQ80" i="21"/>
  <c r="AQ81" i="21"/>
  <c r="AQ82" i="21"/>
  <c r="AQ83" i="21"/>
  <c r="AQ84" i="21"/>
  <c r="AQ85" i="21"/>
  <c r="AE40" i="1"/>
  <c r="AS88" i="1"/>
  <c r="AS70" i="1"/>
  <c r="AS71" i="1"/>
  <c r="AS72" i="1"/>
  <c r="AS73" i="1"/>
  <c r="AS74" i="1"/>
  <c r="AS75" i="1"/>
  <c r="AS76" i="1"/>
  <c r="AS77" i="1"/>
  <c r="AS78" i="1"/>
  <c r="AS79" i="1"/>
  <c r="AS80" i="1"/>
  <c r="AS81" i="1"/>
  <c r="AS82" i="1"/>
  <c r="AS83" i="1"/>
  <c r="AS84" i="1"/>
  <c r="AS85" i="1"/>
  <c r="AS86" i="1"/>
  <c r="AS87" i="1"/>
  <c r="AQ88" i="1"/>
  <c r="AQ70" i="1"/>
  <c r="AQ71" i="1"/>
  <c r="AQ72" i="1"/>
  <c r="AQ73" i="1"/>
  <c r="AQ74" i="1"/>
  <c r="AQ75" i="1"/>
  <c r="AQ76" i="1"/>
  <c r="AQ77" i="1"/>
  <c r="AQ78" i="1"/>
  <c r="AQ79" i="1"/>
  <c r="AQ80" i="1"/>
  <c r="AQ81" i="1"/>
  <c r="AQ82" i="1"/>
  <c r="AQ83" i="1"/>
  <c r="AQ84" i="1"/>
  <c r="AQ85" i="1"/>
  <c r="AQ86" i="1"/>
  <c r="AQ87" i="1"/>
  <c r="AE41" i="1"/>
  <c r="AE42" i="1"/>
  <c r="AE43" i="1"/>
  <c r="AE44" i="1"/>
  <c r="AE45" i="1"/>
  <c r="AE46" i="1"/>
  <c r="AE47" i="1"/>
  <c r="AE48" i="1"/>
  <c r="AE49" i="1"/>
  <c r="AE50" i="1"/>
  <c r="AE51" i="1"/>
  <c r="AE52" i="1"/>
  <c r="AE53" i="1"/>
  <c r="AE54" i="1"/>
  <c r="AE55" i="1"/>
  <c r="AE56" i="1"/>
  <c r="AE57" i="1"/>
  <c r="AE58" i="1"/>
  <c r="AE59" i="1"/>
  <c r="U71" i="1" l="1"/>
  <c r="F131" i="1"/>
  <c r="I131" i="1" s="1"/>
  <c r="J131" i="1" s="1"/>
  <c r="F130" i="1"/>
  <c r="F124" i="1"/>
  <c r="F127" i="1"/>
  <c r="I127" i="1" s="1"/>
  <c r="J127" i="1" s="1"/>
  <c r="AH24" i="1"/>
  <c r="V24" i="1"/>
  <c r="AH16" i="1"/>
  <c r="V16" i="1"/>
  <c r="V23" i="1"/>
  <c r="AH23" i="1"/>
  <c r="V15" i="1"/>
  <c r="AH15" i="1"/>
  <c r="V30" i="1"/>
  <c r="AH30" i="1"/>
  <c r="V22" i="1"/>
  <c r="AH22" i="1"/>
  <c r="V14" i="1"/>
  <c r="AH14" i="1"/>
  <c r="AH29" i="1"/>
  <c r="V29" i="1"/>
  <c r="AH21" i="1"/>
  <c r="V21" i="1"/>
  <c r="V13" i="1"/>
  <c r="AH13" i="1"/>
  <c r="AH28" i="1"/>
  <c r="V28" i="1"/>
  <c r="AH20" i="1"/>
  <c r="V20" i="1"/>
  <c r="AH27" i="1"/>
  <c r="V27" i="1"/>
  <c r="V19" i="1"/>
  <c r="AH19" i="1"/>
  <c r="V26" i="1"/>
  <c r="AH26" i="1"/>
  <c r="AH18" i="1"/>
  <c r="V18" i="1"/>
  <c r="AH25" i="1"/>
  <c r="V25" i="1"/>
  <c r="AH17" i="1"/>
  <c r="V17" i="1"/>
  <c r="V12" i="1"/>
  <c r="AH12" i="1"/>
  <c r="O98" i="1"/>
  <c r="O97" i="1"/>
  <c r="O96" i="1"/>
  <c r="L98" i="1"/>
  <c r="L97" i="1"/>
  <c r="P96" i="1"/>
  <c r="E39" i="22" l="1"/>
  <c r="AX71" i="1" l="1"/>
  <c r="AX72" i="1"/>
  <c r="AX73" i="1"/>
  <c r="AX74" i="1"/>
  <c r="AX75" i="1"/>
  <c r="AX76" i="1"/>
  <c r="AX77" i="1"/>
  <c r="AX78" i="1"/>
  <c r="AX79" i="1"/>
  <c r="AX80" i="1"/>
  <c r="AX81" i="1"/>
  <c r="AX82" i="1"/>
  <c r="AX83" i="1"/>
  <c r="AX84" i="1"/>
  <c r="AX85" i="1"/>
  <c r="AX86" i="1"/>
  <c r="AX87" i="1"/>
  <c r="AX67" i="22"/>
  <c r="AX68" i="22"/>
  <c r="AX69" i="22"/>
  <c r="AX70" i="22"/>
  <c r="AX71" i="22"/>
  <c r="AX72" i="22"/>
  <c r="AX73" i="22"/>
  <c r="AX74" i="22"/>
  <c r="AX75" i="22"/>
  <c r="AX76" i="22"/>
  <c r="AX77" i="22"/>
  <c r="AX78" i="22"/>
  <c r="AX79" i="22"/>
  <c r="AX80" i="22"/>
  <c r="AX81" i="22"/>
  <c r="AX82" i="22"/>
  <c r="AX83" i="22"/>
  <c r="AX84" i="22"/>
  <c r="AX85" i="22"/>
  <c r="AX66" i="22"/>
  <c r="AX85" i="21"/>
  <c r="AX84" i="21"/>
  <c r="AX83" i="21"/>
  <c r="AX82" i="21"/>
  <c r="AX81" i="21"/>
  <c r="AX80" i="21"/>
  <c r="AX79" i="21"/>
  <c r="AX78" i="21"/>
  <c r="AX77" i="21"/>
  <c r="AX76" i="21"/>
  <c r="AX75" i="21"/>
  <c r="AX74" i="21"/>
  <c r="AX73" i="21"/>
  <c r="AX72" i="21"/>
  <c r="AX71" i="21"/>
  <c r="AX70" i="21"/>
  <c r="AX69" i="21"/>
  <c r="AX68" i="21"/>
  <c r="AX67" i="21"/>
  <c r="M12" i="1"/>
  <c r="M13" i="1"/>
  <c r="M14" i="1"/>
  <c r="M15" i="1"/>
  <c r="M16" i="1"/>
  <c r="M17" i="1"/>
  <c r="M18" i="1"/>
  <c r="M19" i="1"/>
  <c r="M20" i="1"/>
  <c r="M21" i="1"/>
  <c r="M22" i="1"/>
  <c r="M23" i="1"/>
  <c r="M24" i="1"/>
  <c r="M25" i="1"/>
  <c r="M26" i="1"/>
  <c r="M27" i="1"/>
  <c r="N27" i="1" s="1"/>
  <c r="M28" i="1"/>
  <c r="N28" i="1" s="1"/>
  <c r="M29" i="1"/>
  <c r="N29" i="1" s="1"/>
  <c r="M30" i="1"/>
  <c r="N30" i="1" s="1"/>
  <c r="E39" i="21"/>
  <c r="M11" i="1"/>
  <c r="M32" i="1" l="1"/>
  <c r="M30" i="22"/>
  <c r="N30" i="22" s="1"/>
  <c r="M13" i="22"/>
  <c r="N13" i="22" s="1"/>
  <c r="M14" i="22"/>
  <c r="N14" i="22" s="1"/>
  <c r="M15" i="22"/>
  <c r="N15" i="22" s="1"/>
  <c r="M16" i="22"/>
  <c r="N16" i="22" s="1"/>
  <c r="M17" i="22"/>
  <c r="N17" i="22" s="1"/>
  <c r="M18" i="22"/>
  <c r="N18" i="22" s="1"/>
  <c r="M19" i="22"/>
  <c r="N19" i="22" s="1"/>
  <c r="M20" i="22"/>
  <c r="N20" i="22" s="1"/>
  <c r="M21" i="22"/>
  <c r="N21" i="22" s="1"/>
  <c r="M22" i="22"/>
  <c r="N22" i="22" s="1"/>
  <c r="M23" i="22"/>
  <c r="N23" i="22" s="1"/>
  <c r="M24" i="22"/>
  <c r="N24" i="22" s="1"/>
  <c r="M25" i="22"/>
  <c r="N25" i="22" s="1"/>
  <c r="M26" i="22"/>
  <c r="N26" i="22" s="1"/>
  <c r="M27" i="22"/>
  <c r="N27" i="22" s="1"/>
  <c r="M28" i="22"/>
  <c r="N28" i="22" s="1"/>
  <c r="M29" i="22"/>
  <c r="N29" i="22" s="1"/>
  <c r="M12" i="22"/>
  <c r="M11" i="22"/>
  <c r="M12" i="21"/>
  <c r="M13" i="21"/>
  <c r="N13" i="21" s="1"/>
  <c r="M14" i="21"/>
  <c r="N14" i="21" s="1"/>
  <c r="M15" i="21"/>
  <c r="N15" i="21" s="1"/>
  <c r="M16" i="21"/>
  <c r="N16" i="21" s="1"/>
  <c r="M17" i="21"/>
  <c r="N17" i="21" s="1"/>
  <c r="M18" i="21"/>
  <c r="N18" i="21" s="1"/>
  <c r="M19" i="21"/>
  <c r="N19" i="21" s="1"/>
  <c r="M20" i="21"/>
  <c r="N20" i="21" s="1"/>
  <c r="M21" i="21"/>
  <c r="N21" i="21" s="1"/>
  <c r="M22" i="21"/>
  <c r="N22" i="21" s="1"/>
  <c r="M23" i="21"/>
  <c r="N23" i="21" s="1"/>
  <c r="M24" i="21"/>
  <c r="N24" i="21" s="1"/>
  <c r="M25" i="21"/>
  <c r="N25" i="21" s="1"/>
  <c r="M26" i="21"/>
  <c r="N26" i="21" s="1"/>
  <c r="M27" i="21"/>
  <c r="N27" i="21" s="1"/>
  <c r="M28" i="21"/>
  <c r="N28" i="21" s="1"/>
  <c r="M29" i="21"/>
  <c r="N29" i="21" s="1"/>
  <c r="M30" i="21"/>
  <c r="N30" i="21" s="1"/>
  <c r="M11" i="21"/>
  <c r="I59" i="21" l="1"/>
  <c r="I60" i="21" s="1"/>
  <c r="K31" i="21"/>
  <c r="J31" i="21"/>
  <c r="I31" i="21"/>
  <c r="I33" i="21" s="1"/>
  <c r="I32" i="21" l="1"/>
  <c r="E41" i="1"/>
  <c r="E42" i="1"/>
  <c r="E43" i="1"/>
  <c r="E44" i="1"/>
  <c r="E45" i="1"/>
  <c r="E46" i="1"/>
  <c r="E47" i="1"/>
  <c r="E48" i="1"/>
  <c r="E49" i="1"/>
  <c r="E50" i="1"/>
  <c r="E19" i="15" l="1"/>
  <c r="E18" i="15"/>
  <c r="E17" i="15"/>
  <c r="M31" i="21" l="1"/>
  <c r="D16" i="10"/>
  <c r="D8" i="10" l="1"/>
  <c r="J67" i="22"/>
  <c r="J68" i="22"/>
  <c r="J69" i="22"/>
  <c r="J70" i="22"/>
  <c r="J71" i="22"/>
  <c r="J72" i="22"/>
  <c r="J73" i="22"/>
  <c r="J74" i="22"/>
  <c r="J75" i="22"/>
  <c r="J76" i="22"/>
  <c r="J77" i="22"/>
  <c r="J78" i="22"/>
  <c r="J79" i="22"/>
  <c r="J80" i="22"/>
  <c r="J81" i="22"/>
  <c r="J82" i="22"/>
  <c r="J83" i="22"/>
  <c r="J84" i="22"/>
  <c r="J85" i="22"/>
  <c r="J66" i="22"/>
  <c r="E85" i="22"/>
  <c r="E84" i="22"/>
  <c r="E83" i="22"/>
  <c r="E82" i="22"/>
  <c r="E81" i="22"/>
  <c r="E80" i="22"/>
  <c r="E79" i="22"/>
  <c r="E78" i="22"/>
  <c r="E77" i="22"/>
  <c r="E76" i="22"/>
  <c r="E75" i="22"/>
  <c r="E74" i="22"/>
  <c r="E73" i="22"/>
  <c r="E72" i="22"/>
  <c r="E14" i="15"/>
  <c r="E15" i="15"/>
  <c r="E13" i="15"/>
  <c r="E2" i="18" l="1"/>
  <c r="AW88" i="1" l="1"/>
  <c r="D2" i="18" l="1"/>
  <c r="D2" i="11"/>
  <c r="C2" i="22"/>
  <c r="C2" i="21"/>
  <c r="C2" i="1"/>
  <c r="C2" i="10"/>
  <c r="T39" i="22"/>
  <c r="W12" i="22"/>
  <c r="X12" i="22" s="1"/>
  <c r="W13" i="22"/>
  <c r="X13" i="22" s="1"/>
  <c r="W14" i="22"/>
  <c r="X14" i="22" s="1"/>
  <c r="W15" i="22"/>
  <c r="X15" i="22" s="1"/>
  <c r="W16" i="22"/>
  <c r="X16" i="22" s="1"/>
  <c r="W17" i="22"/>
  <c r="X17" i="22" s="1"/>
  <c r="W18" i="22"/>
  <c r="X18" i="22" s="1"/>
  <c r="W19" i="22"/>
  <c r="X19" i="22" s="1"/>
  <c r="W20" i="22"/>
  <c r="X20" i="22" s="1"/>
  <c r="W21" i="22"/>
  <c r="X21" i="22" s="1"/>
  <c r="W22" i="22"/>
  <c r="X22" i="22" s="1"/>
  <c r="W23" i="22"/>
  <c r="X23" i="22" s="1"/>
  <c r="W24" i="22"/>
  <c r="X24" i="22" s="1"/>
  <c r="W25" i="22"/>
  <c r="X25" i="22" s="1"/>
  <c r="W26" i="22"/>
  <c r="X26" i="22" s="1"/>
  <c r="W27" i="22"/>
  <c r="X27" i="22" s="1"/>
  <c r="W28" i="22"/>
  <c r="X28" i="22" s="1"/>
  <c r="W29" i="22"/>
  <c r="X29" i="22" s="1"/>
  <c r="W30" i="22"/>
  <c r="X30" i="22" s="1"/>
  <c r="W11" i="22"/>
  <c r="T11" i="22"/>
  <c r="F108" i="22" l="1"/>
  <c r="F107" i="22"/>
  <c r="F103" i="22"/>
  <c r="F104" i="22"/>
  <c r="AG12" i="22"/>
  <c r="AG14" i="22"/>
  <c r="AG15" i="22"/>
  <c r="AG16" i="22"/>
  <c r="AG11" i="22"/>
  <c r="J103" i="22"/>
  <c r="I59" i="22"/>
  <c r="AG58" i="22"/>
  <c r="AH58" i="22" s="1"/>
  <c r="AF58" i="22"/>
  <c r="AB58" i="22"/>
  <c r="AD58" i="22" s="1"/>
  <c r="W58" i="22"/>
  <c r="X58" i="22" s="1"/>
  <c r="E58" i="22"/>
  <c r="AG57" i="22"/>
  <c r="AH57" i="22" s="1"/>
  <c r="AF57" i="22"/>
  <c r="AB57" i="22"/>
  <c r="AD57" i="22" s="1"/>
  <c r="W57" i="22"/>
  <c r="X57" i="22" s="1"/>
  <c r="E57" i="22"/>
  <c r="AG56" i="22"/>
  <c r="AH56" i="22" s="1"/>
  <c r="AF56" i="22"/>
  <c r="AB56" i="22"/>
  <c r="AD56" i="22" s="1"/>
  <c r="W56" i="22"/>
  <c r="X56" i="22" s="1"/>
  <c r="E56" i="22"/>
  <c r="AG55" i="22"/>
  <c r="AH55" i="22" s="1"/>
  <c r="AF55" i="22"/>
  <c r="AB55" i="22"/>
  <c r="AD55" i="22" s="1"/>
  <c r="W55" i="22"/>
  <c r="X55" i="22" s="1"/>
  <c r="E55" i="22"/>
  <c r="AG54" i="22"/>
  <c r="AH54" i="22" s="1"/>
  <c r="AF54" i="22"/>
  <c r="AB54" i="22"/>
  <c r="AD54" i="22" s="1"/>
  <c r="W54" i="22"/>
  <c r="X54" i="22" s="1"/>
  <c r="E54" i="22"/>
  <c r="AG53" i="22"/>
  <c r="AH53" i="22" s="1"/>
  <c r="AF53" i="22"/>
  <c r="AB53" i="22"/>
  <c r="W53" i="22"/>
  <c r="X53" i="22" s="1"/>
  <c r="E53" i="22"/>
  <c r="AG52" i="22"/>
  <c r="AH52" i="22" s="1"/>
  <c r="AF52" i="22"/>
  <c r="AB52" i="22"/>
  <c r="AD52" i="22" s="1"/>
  <c r="W52" i="22"/>
  <c r="X52" i="22" s="1"/>
  <c r="E52" i="22"/>
  <c r="AG51" i="22"/>
  <c r="AH51" i="22" s="1"/>
  <c r="AF51" i="22"/>
  <c r="AB51" i="22"/>
  <c r="AD51" i="22" s="1"/>
  <c r="W51" i="22"/>
  <c r="X51" i="22" s="1"/>
  <c r="E51" i="22"/>
  <c r="AG50" i="22"/>
  <c r="AH50" i="22" s="1"/>
  <c r="AF50" i="22"/>
  <c r="AB50" i="22"/>
  <c r="AD50" i="22" s="1"/>
  <c r="W50" i="22"/>
  <c r="X50" i="22" s="1"/>
  <c r="E50" i="22"/>
  <c r="AG49" i="22"/>
  <c r="AH49" i="22" s="1"/>
  <c r="AF49" i="22"/>
  <c r="AB49" i="22"/>
  <c r="AD49" i="22" s="1"/>
  <c r="W49" i="22"/>
  <c r="X49" i="22" s="1"/>
  <c r="E49" i="22"/>
  <c r="AG48" i="22"/>
  <c r="AH48" i="22" s="1"/>
  <c r="AF48" i="22"/>
  <c r="AB48" i="22"/>
  <c r="AD48" i="22" s="1"/>
  <c r="W48" i="22"/>
  <c r="X48" i="22" s="1"/>
  <c r="E48" i="22"/>
  <c r="AG47" i="22"/>
  <c r="AH47" i="22" s="1"/>
  <c r="AF47" i="22"/>
  <c r="AB47" i="22"/>
  <c r="AD47" i="22" s="1"/>
  <c r="W47" i="22"/>
  <c r="X47" i="22" s="1"/>
  <c r="E47" i="22"/>
  <c r="AG46" i="22"/>
  <c r="AH46" i="22" s="1"/>
  <c r="AF46" i="22"/>
  <c r="AB46" i="22"/>
  <c r="AD46" i="22" s="1"/>
  <c r="W46" i="22"/>
  <c r="X46" i="22" s="1"/>
  <c r="E46" i="22"/>
  <c r="AG45" i="22"/>
  <c r="AH45" i="22" s="1"/>
  <c r="AF45" i="22"/>
  <c r="AB45" i="22"/>
  <c r="AD45" i="22" s="1"/>
  <c r="W45" i="22"/>
  <c r="X45" i="22" s="1"/>
  <c r="E45" i="22"/>
  <c r="AG44" i="22"/>
  <c r="AH44" i="22" s="1"/>
  <c r="AF44" i="22"/>
  <c r="AB44" i="22"/>
  <c r="AD44" i="22" s="1"/>
  <c r="W44" i="22"/>
  <c r="X44" i="22" s="1"/>
  <c r="E44" i="22"/>
  <c r="AG43" i="22"/>
  <c r="AH43" i="22" s="1"/>
  <c r="AF43" i="22"/>
  <c r="AB43" i="22"/>
  <c r="AD43" i="22" s="1"/>
  <c r="W43" i="22"/>
  <c r="X43" i="22" s="1"/>
  <c r="E43" i="22"/>
  <c r="AG42" i="22"/>
  <c r="AH42" i="22" s="1"/>
  <c r="AF42" i="22"/>
  <c r="AB42" i="22"/>
  <c r="AD42" i="22" s="1"/>
  <c r="W42" i="22"/>
  <c r="X42" i="22" s="1"/>
  <c r="E42" i="22"/>
  <c r="AG41" i="22"/>
  <c r="AH41" i="22" s="1"/>
  <c r="AF41" i="22"/>
  <c r="AB41" i="22"/>
  <c r="AD41" i="22" s="1"/>
  <c r="W41" i="22"/>
  <c r="X41" i="22" s="1"/>
  <c r="E41" i="22"/>
  <c r="AG40" i="22"/>
  <c r="AH40" i="22" s="1"/>
  <c r="AF40" i="22"/>
  <c r="AB40" i="22"/>
  <c r="AD40" i="22" s="1"/>
  <c r="W40" i="22"/>
  <c r="X40" i="22" s="1"/>
  <c r="E40" i="22"/>
  <c r="AG39" i="22"/>
  <c r="AH39" i="22" s="1"/>
  <c r="AF39" i="22"/>
  <c r="AB39" i="22"/>
  <c r="AD39" i="22" s="1"/>
  <c r="W39" i="22"/>
  <c r="X39" i="22" s="1"/>
  <c r="V39" i="22"/>
  <c r="K31" i="22"/>
  <c r="J31" i="22"/>
  <c r="I31" i="22"/>
  <c r="I33" i="22" s="1"/>
  <c r="AI30" i="22"/>
  <c r="AG30" i="22"/>
  <c r="AB30" i="22"/>
  <c r="AC30" i="22" s="1"/>
  <c r="AH30" i="22"/>
  <c r="AI29" i="22"/>
  <c r="AG29" i="22"/>
  <c r="AB29" i="22"/>
  <c r="AD29" i="22" s="1"/>
  <c r="AF29" i="22" s="1"/>
  <c r="AH29" i="22"/>
  <c r="AI28" i="22"/>
  <c r="AG28" i="22"/>
  <c r="AB28" i="22"/>
  <c r="AD28" i="22" s="1"/>
  <c r="AF28" i="22" s="1"/>
  <c r="AH28" i="22"/>
  <c r="AI27" i="22"/>
  <c r="AG27" i="22"/>
  <c r="AB27" i="22"/>
  <c r="AD27" i="22" s="1"/>
  <c r="AF27" i="22" s="1"/>
  <c r="AH27" i="22"/>
  <c r="AI26" i="22"/>
  <c r="AG26" i="22"/>
  <c r="AB26" i="22"/>
  <c r="AC26" i="22" s="1"/>
  <c r="AH26" i="22"/>
  <c r="AI25" i="22"/>
  <c r="AG25" i="22"/>
  <c r="AB25" i="22"/>
  <c r="AC25" i="22" s="1"/>
  <c r="AH25" i="22"/>
  <c r="AI24" i="22"/>
  <c r="AG24" i="22"/>
  <c r="AB24" i="22"/>
  <c r="AD24" i="22" s="1"/>
  <c r="AE24" i="22" s="1"/>
  <c r="AH24" i="22"/>
  <c r="AI23" i="22"/>
  <c r="AG23" i="22"/>
  <c r="AB23" i="22"/>
  <c r="AD23" i="22" s="1"/>
  <c r="AF23" i="22" s="1"/>
  <c r="AH23" i="22"/>
  <c r="AI22" i="22"/>
  <c r="AG22" i="22"/>
  <c r="AB22" i="22"/>
  <c r="AD22" i="22" s="1"/>
  <c r="AE22" i="22" s="1"/>
  <c r="AH22" i="22"/>
  <c r="AI21" i="22"/>
  <c r="AG21" i="22"/>
  <c r="AB21" i="22"/>
  <c r="AD21" i="22" s="1"/>
  <c r="AE21" i="22" s="1"/>
  <c r="AH21" i="22"/>
  <c r="AI20" i="22"/>
  <c r="AG20" i="22"/>
  <c r="AB20" i="22"/>
  <c r="AD20" i="22" s="1"/>
  <c r="AF20" i="22" s="1"/>
  <c r="AH20" i="22"/>
  <c r="AI19" i="22"/>
  <c r="AG19" i="22"/>
  <c r="AB19" i="22"/>
  <c r="AD19" i="22" s="1"/>
  <c r="AE19" i="22" s="1"/>
  <c r="AI18" i="22"/>
  <c r="AG18" i="22"/>
  <c r="AB18" i="22"/>
  <c r="AC18" i="22" s="1"/>
  <c r="AH18" i="22"/>
  <c r="AI17" i="22"/>
  <c r="AG17" i="22"/>
  <c r="AB17" i="22"/>
  <c r="AD17" i="22" s="1"/>
  <c r="AF17" i="22" s="1"/>
  <c r="AH17" i="22"/>
  <c r="AI16" i="22"/>
  <c r="AB16" i="22"/>
  <c r="AD16" i="22" s="1"/>
  <c r="AE16" i="22" s="1"/>
  <c r="AH16" i="22"/>
  <c r="AI15" i="22"/>
  <c r="AB15" i="22"/>
  <c r="AD15" i="22" s="1"/>
  <c r="AF15" i="22" s="1"/>
  <c r="AH15" i="22"/>
  <c r="AI14" i="22"/>
  <c r="AB14" i="22"/>
  <c r="AI13" i="22"/>
  <c r="AB13" i="22"/>
  <c r="AD13" i="22" s="1"/>
  <c r="AF13" i="22" s="1"/>
  <c r="AI12" i="22"/>
  <c r="AB12" i="22"/>
  <c r="AD12" i="22" s="1"/>
  <c r="AE12" i="22" s="1"/>
  <c r="AI11" i="22"/>
  <c r="AB11" i="22"/>
  <c r="AD11" i="22" s="1"/>
  <c r="X11" i="22"/>
  <c r="AX66" i="21"/>
  <c r="AG58" i="21"/>
  <c r="AH58" i="21" s="1"/>
  <c r="AF58" i="21"/>
  <c r="AB58" i="21"/>
  <c r="AD58" i="21" s="1"/>
  <c r="W58" i="21"/>
  <c r="X58" i="21" s="1"/>
  <c r="E58" i="21"/>
  <c r="AG57" i="21"/>
  <c r="AH57" i="21" s="1"/>
  <c r="AF57" i="21"/>
  <c r="AB57" i="21"/>
  <c r="AD57" i="21" s="1"/>
  <c r="W57" i="21"/>
  <c r="X57" i="21" s="1"/>
  <c r="E57" i="21"/>
  <c r="AG56" i="21"/>
  <c r="AH56" i="21" s="1"/>
  <c r="AF56" i="21"/>
  <c r="AB56" i="21"/>
  <c r="AD56" i="21" s="1"/>
  <c r="W56" i="21"/>
  <c r="X56" i="21" s="1"/>
  <c r="E56" i="21"/>
  <c r="AG55" i="21"/>
  <c r="AH55" i="21" s="1"/>
  <c r="AF55" i="21"/>
  <c r="AB55" i="21"/>
  <c r="AD55" i="21" s="1"/>
  <c r="W55" i="21"/>
  <c r="X55" i="21" s="1"/>
  <c r="E55" i="21"/>
  <c r="AG54" i="21"/>
  <c r="AH54" i="21" s="1"/>
  <c r="AF54" i="21"/>
  <c r="AB54" i="21"/>
  <c r="AD54" i="21" s="1"/>
  <c r="W54" i="21"/>
  <c r="X54" i="21" s="1"/>
  <c r="E54" i="21"/>
  <c r="AG53" i="21"/>
  <c r="AH53" i="21" s="1"/>
  <c r="AF53" i="21"/>
  <c r="AB53" i="21"/>
  <c r="AD53" i="21" s="1"/>
  <c r="W53" i="21"/>
  <c r="X53" i="21" s="1"/>
  <c r="E53" i="21"/>
  <c r="AG52" i="21"/>
  <c r="AH52" i="21" s="1"/>
  <c r="AF52" i="21"/>
  <c r="AB52" i="21"/>
  <c r="AD52" i="21" s="1"/>
  <c r="W52" i="21"/>
  <c r="X52" i="21" s="1"/>
  <c r="E52" i="21"/>
  <c r="AG51" i="21"/>
  <c r="AH51" i="21" s="1"/>
  <c r="AF51" i="21"/>
  <c r="AB51" i="21"/>
  <c r="AD51" i="21" s="1"/>
  <c r="W51" i="21"/>
  <c r="X51" i="21" s="1"/>
  <c r="E51" i="21"/>
  <c r="AG50" i="21"/>
  <c r="AH50" i="21" s="1"/>
  <c r="AF50" i="21"/>
  <c r="AB50" i="21"/>
  <c r="AD50" i="21" s="1"/>
  <c r="W50" i="21"/>
  <c r="X50" i="21" s="1"/>
  <c r="E50" i="21"/>
  <c r="AG49" i="21"/>
  <c r="AH49" i="21" s="1"/>
  <c r="AF49" i="21"/>
  <c r="AB49" i="21"/>
  <c r="AD49" i="21" s="1"/>
  <c r="W49" i="21"/>
  <c r="X49" i="21" s="1"/>
  <c r="E49" i="21"/>
  <c r="AG48" i="21"/>
  <c r="AH48" i="21" s="1"/>
  <c r="AF48" i="21"/>
  <c r="AB48" i="21"/>
  <c r="AD48" i="21" s="1"/>
  <c r="W48" i="21"/>
  <c r="X48" i="21" s="1"/>
  <c r="E48" i="21"/>
  <c r="AG47" i="21"/>
  <c r="AH47" i="21" s="1"/>
  <c r="AF47" i="21"/>
  <c r="AB47" i="21"/>
  <c r="AD47" i="21" s="1"/>
  <c r="W47" i="21"/>
  <c r="X47" i="21" s="1"/>
  <c r="E47" i="21"/>
  <c r="AG46" i="21"/>
  <c r="AH46" i="21" s="1"/>
  <c r="AF46" i="21"/>
  <c r="AB46" i="21"/>
  <c r="AD46" i="21" s="1"/>
  <c r="W46" i="21"/>
  <c r="X46" i="21" s="1"/>
  <c r="E46" i="21"/>
  <c r="AG45" i="21"/>
  <c r="AH45" i="21" s="1"/>
  <c r="AF45" i="21"/>
  <c r="AB45" i="21"/>
  <c r="AD45" i="21" s="1"/>
  <c r="W45" i="21"/>
  <c r="X45" i="21" s="1"/>
  <c r="E45" i="21"/>
  <c r="AG44" i="21"/>
  <c r="AH44" i="21" s="1"/>
  <c r="AF44" i="21"/>
  <c r="AB44" i="21"/>
  <c r="AD44" i="21" s="1"/>
  <c r="W44" i="21"/>
  <c r="X44" i="21" s="1"/>
  <c r="E44" i="21"/>
  <c r="AG43" i="21"/>
  <c r="AH43" i="21" s="1"/>
  <c r="AF43" i="21"/>
  <c r="AB43" i="21"/>
  <c r="AD43" i="21" s="1"/>
  <c r="W43" i="21"/>
  <c r="X43" i="21" s="1"/>
  <c r="E43" i="21"/>
  <c r="AG42" i="21"/>
  <c r="AH42" i="21" s="1"/>
  <c r="AF42" i="21"/>
  <c r="AB42" i="21"/>
  <c r="AD42" i="21" s="1"/>
  <c r="W42" i="21"/>
  <c r="X42" i="21" s="1"/>
  <c r="E42" i="21"/>
  <c r="AG41" i="21"/>
  <c r="AH41" i="21" s="1"/>
  <c r="AF41" i="21"/>
  <c r="AB41" i="21"/>
  <c r="AD41" i="21" s="1"/>
  <c r="W41" i="21"/>
  <c r="X41" i="21" s="1"/>
  <c r="E41" i="21"/>
  <c r="AG40" i="21"/>
  <c r="AH40" i="21" s="1"/>
  <c r="AF40" i="21"/>
  <c r="AB40" i="21"/>
  <c r="AD40" i="21" s="1"/>
  <c r="W40" i="21"/>
  <c r="X40" i="21" s="1"/>
  <c r="E40" i="21"/>
  <c r="AG39" i="21"/>
  <c r="AH39" i="21" s="1"/>
  <c r="AF39" i="21"/>
  <c r="AB39" i="21"/>
  <c r="AD39" i="21" s="1"/>
  <c r="W39" i="21"/>
  <c r="X39" i="21" s="1"/>
  <c r="V39" i="21"/>
  <c r="AI30" i="21"/>
  <c r="AB30" i="21"/>
  <c r="AC30" i="21" s="1"/>
  <c r="AG30" i="21"/>
  <c r="AI29" i="21"/>
  <c r="AB29" i="21"/>
  <c r="AD29" i="21" s="1"/>
  <c r="AG29" i="21"/>
  <c r="AI28" i="21"/>
  <c r="AG28" i="21"/>
  <c r="AB28" i="21"/>
  <c r="AD28" i="21" s="1"/>
  <c r="AI27" i="21"/>
  <c r="AB27" i="21"/>
  <c r="AD27" i="21" s="1"/>
  <c r="AG27" i="21"/>
  <c r="AI26" i="21"/>
  <c r="AG26" i="21"/>
  <c r="AB26" i="21"/>
  <c r="AC26" i="21" s="1"/>
  <c r="AI25" i="21"/>
  <c r="AB25" i="21"/>
  <c r="AD25" i="21" s="1"/>
  <c r="AG25" i="21"/>
  <c r="AI24" i="21"/>
  <c r="AB24" i="21"/>
  <c r="AC24" i="21" s="1"/>
  <c r="AG24" i="21"/>
  <c r="AI23" i="21"/>
  <c r="AB23" i="21"/>
  <c r="AD23" i="21" s="1"/>
  <c r="AG23" i="21"/>
  <c r="AI22" i="21"/>
  <c r="AB22" i="21"/>
  <c r="AC22" i="21" s="1"/>
  <c r="AG22" i="21"/>
  <c r="AI21" i="21"/>
  <c r="AB21" i="21"/>
  <c r="AD21" i="21" s="1"/>
  <c r="AG21" i="21"/>
  <c r="AI20" i="21"/>
  <c r="AB20" i="21"/>
  <c r="AC20" i="21" s="1"/>
  <c r="AG20" i="21"/>
  <c r="AI19" i="21"/>
  <c r="AB19" i="21"/>
  <c r="AD19" i="21" s="1"/>
  <c r="AG19" i="21"/>
  <c r="AI18" i="21"/>
  <c r="AB18" i="21"/>
  <c r="AC18" i="21" s="1"/>
  <c r="AG18" i="21"/>
  <c r="AI17" i="21"/>
  <c r="AB17" i="21"/>
  <c r="AD17" i="21" s="1"/>
  <c r="AG17" i="21"/>
  <c r="AI16" i="21"/>
  <c r="AB16" i="21"/>
  <c r="AC16" i="21" s="1"/>
  <c r="AG16" i="21"/>
  <c r="AI15" i="21"/>
  <c r="AB15" i="21"/>
  <c r="AD15" i="21" s="1"/>
  <c r="AG15" i="21"/>
  <c r="AI14" i="21"/>
  <c r="AB14" i="21"/>
  <c r="AD14" i="21" s="1"/>
  <c r="AG14" i="21"/>
  <c r="AI13" i="21"/>
  <c r="AB13" i="21"/>
  <c r="AD13" i="21" s="1"/>
  <c r="AG13" i="21"/>
  <c r="AI12" i="21"/>
  <c r="AB12" i="21"/>
  <c r="AG12" i="21"/>
  <c r="AI11" i="21"/>
  <c r="AB11" i="21"/>
  <c r="AD11" i="21" s="1"/>
  <c r="X11" i="21"/>
  <c r="AE29" i="22" l="1"/>
  <c r="AE28" i="22"/>
  <c r="AE27" i="22"/>
  <c r="AF24" i="22"/>
  <c r="AE23" i="22"/>
  <c r="AF22" i="22"/>
  <c r="AF21" i="22"/>
  <c r="AE20" i="22"/>
  <c r="AF19" i="22"/>
  <c r="AE17" i="22"/>
  <c r="AF16" i="22"/>
  <c r="AE15" i="22"/>
  <c r="AE13" i="22"/>
  <c r="V11" i="21"/>
  <c r="AE11" i="21" s="1"/>
  <c r="AH12" i="21"/>
  <c r="V12" i="21"/>
  <c r="AC53" i="22"/>
  <c r="AD53" i="22"/>
  <c r="N12" i="22"/>
  <c r="AF12" i="22"/>
  <c r="U67" i="22"/>
  <c r="AQ67" i="22"/>
  <c r="AR67" i="22" s="1"/>
  <c r="AS67" i="22"/>
  <c r="AT67" i="22" s="1"/>
  <c r="AS66" i="22"/>
  <c r="AT66" i="22" s="1"/>
  <c r="AQ66" i="22"/>
  <c r="AR66" i="22" s="1"/>
  <c r="AS66" i="21"/>
  <c r="AT66" i="21" s="1"/>
  <c r="AQ66" i="21"/>
  <c r="AR66" i="21" s="1"/>
  <c r="L59" i="21"/>
  <c r="P3" i="21" s="1"/>
  <c r="U66" i="21"/>
  <c r="T66" i="21"/>
  <c r="I32" i="22"/>
  <c r="AH11" i="21"/>
  <c r="E69" i="22"/>
  <c r="AT73" i="22"/>
  <c r="AB73" i="22"/>
  <c r="T73" i="22"/>
  <c r="X73" i="22"/>
  <c r="W73" i="22"/>
  <c r="AR73" i="22"/>
  <c r="AG73" i="22"/>
  <c r="AH73" i="22" s="1"/>
  <c r="AF73" i="22"/>
  <c r="AU73" i="22"/>
  <c r="AV73" i="22" s="1"/>
  <c r="AI73" i="22"/>
  <c r="AJ73" i="22" s="1"/>
  <c r="AC73" i="22"/>
  <c r="AD73" i="22" s="1"/>
  <c r="AW73" i="22"/>
  <c r="V73" i="22"/>
  <c r="H73" i="22"/>
  <c r="AN73" i="22" s="1"/>
  <c r="AF77" i="22"/>
  <c r="AW77" i="22"/>
  <c r="AC77" i="22"/>
  <c r="AU77" i="22"/>
  <c r="AV77" i="22" s="1"/>
  <c r="AB77" i="22"/>
  <c r="T77" i="22"/>
  <c r="AI77" i="22"/>
  <c r="AJ77" i="22" s="1"/>
  <c r="AT77" i="22"/>
  <c r="X77" i="22"/>
  <c r="AR77" i="22"/>
  <c r="AG77" i="22"/>
  <c r="AH77" i="22" s="1"/>
  <c r="W77" i="22"/>
  <c r="V77" i="22"/>
  <c r="H77" i="22"/>
  <c r="AN77" i="22" s="1"/>
  <c r="AF81" i="22"/>
  <c r="W81" i="22"/>
  <c r="AW81" i="22"/>
  <c r="V81" i="22"/>
  <c r="AR81" i="22"/>
  <c r="AU81" i="22"/>
  <c r="AV81" i="22" s="1"/>
  <c r="AC81" i="22"/>
  <c r="AD81" i="22" s="1"/>
  <c r="AT81" i="22"/>
  <c r="AB81" i="22"/>
  <c r="T81" i="22"/>
  <c r="AI81" i="22"/>
  <c r="AJ81" i="22" s="1"/>
  <c r="AG81" i="22"/>
  <c r="AH81" i="22" s="1"/>
  <c r="X81" i="22"/>
  <c r="H81" i="22"/>
  <c r="AN81" i="22" s="1"/>
  <c r="C85" i="22"/>
  <c r="AI85" i="22"/>
  <c r="AJ85" i="22" s="1"/>
  <c r="X85" i="22"/>
  <c r="AU85" i="22"/>
  <c r="AV85" i="22" s="1"/>
  <c r="AB85" i="22"/>
  <c r="T85" i="22"/>
  <c r="AG85" i="22"/>
  <c r="AH85" i="22" s="1"/>
  <c r="W85" i="22"/>
  <c r="AF85" i="22"/>
  <c r="V85" i="22"/>
  <c r="AT85" i="22"/>
  <c r="AW85" i="22"/>
  <c r="AC85" i="22"/>
  <c r="AR85" i="22"/>
  <c r="H85" i="22"/>
  <c r="AN85" i="22" s="1"/>
  <c r="E70" i="22"/>
  <c r="AG74" i="22"/>
  <c r="AH74" i="22" s="1"/>
  <c r="X74" i="22"/>
  <c r="T74" i="22"/>
  <c r="AI74" i="22"/>
  <c r="AJ74" i="22" s="1"/>
  <c r="AF74" i="22"/>
  <c r="W74" i="22"/>
  <c r="AB74" i="22"/>
  <c r="AW74" i="22"/>
  <c r="V74" i="22"/>
  <c r="AT74" i="22"/>
  <c r="AU74" i="22"/>
  <c r="AV74" i="22" s="1"/>
  <c r="AC74" i="22"/>
  <c r="AR74" i="22"/>
  <c r="H74" i="22"/>
  <c r="AN74" i="22" s="1"/>
  <c r="AR78" i="22"/>
  <c r="AF78" i="22"/>
  <c r="V78" i="22"/>
  <c r="AI78" i="22"/>
  <c r="AJ78" i="22" s="1"/>
  <c r="X78" i="22"/>
  <c r="AW78" i="22"/>
  <c r="AC78" i="22"/>
  <c r="AG78" i="22"/>
  <c r="AH78" i="22" s="1"/>
  <c r="W78" i="22"/>
  <c r="AU78" i="22"/>
  <c r="AV78" i="22" s="1"/>
  <c r="AB78" i="22"/>
  <c r="T78" i="22"/>
  <c r="AT78" i="22"/>
  <c r="H78" i="22"/>
  <c r="AN78" i="22" s="1"/>
  <c r="AR82" i="22"/>
  <c r="AF82" i="22"/>
  <c r="AI82" i="22"/>
  <c r="AJ82" i="22" s="1"/>
  <c r="W82" i="22"/>
  <c r="AW82" i="22"/>
  <c r="V82" i="22"/>
  <c r="AG82" i="22"/>
  <c r="AH82" i="22" s="1"/>
  <c r="X82" i="22"/>
  <c r="AU82" i="22"/>
  <c r="AV82" i="22" s="1"/>
  <c r="AC82" i="22"/>
  <c r="AT82" i="22"/>
  <c r="AB82" i="22"/>
  <c r="T82" i="22"/>
  <c r="H82" i="22"/>
  <c r="AN82" i="22" s="1"/>
  <c r="E71" i="22"/>
  <c r="AU75" i="22"/>
  <c r="AV75" i="22" s="1"/>
  <c r="AB75" i="22"/>
  <c r="T75" i="22"/>
  <c r="X75" i="22"/>
  <c r="AT75" i="22"/>
  <c r="AG75" i="22"/>
  <c r="AH75" i="22" s="1"/>
  <c r="AR75" i="22"/>
  <c r="W75" i="22"/>
  <c r="AI75" i="22"/>
  <c r="AJ75" i="22" s="1"/>
  <c r="AF75" i="22"/>
  <c r="V75" i="22"/>
  <c r="AW75" i="22"/>
  <c r="AC75" i="22"/>
  <c r="H75" i="22"/>
  <c r="AN75" i="22" s="1"/>
  <c r="AF79" i="22"/>
  <c r="W79" i="22"/>
  <c r="AW79" i="22"/>
  <c r="V79" i="22"/>
  <c r="AU79" i="22"/>
  <c r="AV79" i="22" s="1"/>
  <c r="AC79" i="22"/>
  <c r="AR79" i="22"/>
  <c r="AT79" i="22"/>
  <c r="AB79" i="22"/>
  <c r="H79" i="22" s="1"/>
  <c r="AN79" i="22" s="1"/>
  <c r="T79" i="22"/>
  <c r="AI79" i="22"/>
  <c r="AJ79" i="22" s="1"/>
  <c r="AG79" i="22"/>
  <c r="AH79" i="22" s="1"/>
  <c r="X79" i="22"/>
  <c r="AG83" i="22"/>
  <c r="AH83" i="22" s="1"/>
  <c r="W83" i="22"/>
  <c r="AT83" i="22"/>
  <c r="AF83" i="22"/>
  <c r="V83" i="22"/>
  <c r="AW83" i="22"/>
  <c r="AC83" i="22"/>
  <c r="AU83" i="22"/>
  <c r="AV83" i="22" s="1"/>
  <c r="AB83" i="22"/>
  <c r="T83" i="22"/>
  <c r="AR83" i="22"/>
  <c r="AI83" i="22"/>
  <c r="AJ83" i="22" s="1"/>
  <c r="X83" i="22"/>
  <c r="H83" i="22"/>
  <c r="AN83" i="22" s="1"/>
  <c r="AG72" i="22"/>
  <c r="AH72" i="22" s="1"/>
  <c r="X72" i="22"/>
  <c r="T72" i="22"/>
  <c r="AI72" i="22"/>
  <c r="AJ72" i="22" s="1"/>
  <c r="AF72" i="22"/>
  <c r="W72" i="22"/>
  <c r="AB72" i="22"/>
  <c r="H72" i="22" s="1"/>
  <c r="AN72" i="22" s="1"/>
  <c r="AW72" i="22"/>
  <c r="V72" i="22"/>
  <c r="AU72" i="22"/>
  <c r="AV72" i="22" s="1"/>
  <c r="AC72" i="22"/>
  <c r="AD72" i="22" s="1"/>
  <c r="AT72" i="22"/>
  <c r="AR72" i="22"/>
  <c r="AI76" i="22"/>
  <c r="AJ76" i="22" s="1"/>
  <c r="AC76" i="22"/>
  <c r="T76" i="22"/>
  <c r="AG76" i="22"/>
  <c r="AH76" i="22" s="1"/>
  <c r="X76" i="22"/>
  <c r="AU76" i="22"/>
  <c r="AV76" i="22" s="1"/>
  <c r="AF76" i="22"/>
  <c r="W76" i="22"/>
  <c r="AB76" i="22"/>
  <c r="AW76" i="22"/>
  <c r="V76" i="22"/>
  <c r="AT76" i="22"/>
  <c r="AR76" i="22"/>
  <c r="H76" i="22"/>
  <c r="AN76" i="22" s="1"/>
  <c r="AR80" i="22"/>
  <c r="V80" i="22"/>
  <c r="AI80" i="22"/>
  <c r="AJ80" i="22" s="1"/>
  <c r="AF80" i="22"/>
  <c r="AW80" i="22"/>
  <c r="AG80" i="22"/>
  <c r="AH80" i="22" s="1"/>
  <c r="X80" i="22"/>
  <c r="W80" i="22"/>
  <c r="AU80" i="22"/>
  <c r="AV80" i="22" s="1"/>
  <c r="AC80" i="22"/>
  <c r="AT80" i="22"/>
  <c r="AB80" i="22"/>
  <c r="T80" i="22"/>
  <c r="H80" i="22"/>
  <c r="AN80" i="22" s="1"/>
  <c r="AT84" i="22"/>
  <c r="AB84" i="22"/>
  <c r="T84" i="22"/>
  <c r="AG84" i="22"/>
  <c r="AH84" i="22" s="1"/>
  <c r="AR84" i="22"/>
  <c r="W84" i="22"/>
  <c r="X84" i="22"/>
  <c r="AF84" i="22"/>
  <c r="AI84" i="22"/>
  <c r="AJ84" i="22" s="1"/>
  <c r="AW84" i="22"/>
  <c r="V84" i="22"/>
  <c r="AU84" i="22"/>
  <c r="AV84" i="22" s="1"/>
  <c r="AC84" i="22"/>
  <c r="AD84" i="22" s="1"/>
  <c r="H84" i="22"/>
  <c r="AN84" i="22" s="1"/>
  <c r="E68" i="22"/>
  <c r="E67" i="22"/>
  <c r="E66" i="22"/>
  <c r="O32" i="21"/>
  <c r="AR79" i="21"/>
  <c r="AT79" i="21"/>
  <c r="T79" i="21"/>
  <c r="AU79" i="21"/>
  <c r="AV79" i="21" s="1"/>
  <c r="AG79" i="21"/>
  <c r="AH79" i="21" s="1"/>
  <c r="AB79" i="21"/>
  <c r="H79" i="21" s="1"/>
  <c r="AN79" i="21" s="1"/>
  <c r="AW79" i="21"/>
  <c r="E79" i="21"/>
  <c r="AF79" i="21"/>
  <c r="AI79" i="21"/>
  <c r="AJ79" i="21" s="1"/>
  <c r="T69" i="21"/>
  <c r="AU69" i="21"/>
  <c r="AV69" i="21" s="1"/>
  <c r="AB69" i="21"/>
  <c r="AW69" i="21"/>
  <c r="AR69" i="21"/>
  <c r="AC69" i="21"/>
  <c r="E69" i="21"/>
  <c r="AF69" i="21"/>
  <c r="AT69" i="21"/>
  <c r="AG69" i="21"/>
  <c r="AH69" i="21" s="1"/>
  <c r="AI69" i="21"/>
  <c r="AJ69" i="21" s="1"/>
  <c r="E73" i="21"/>
  <c r="AU73" i="21"/>
  <c r="AV73" i="21" s="1"/>
  <c r="AW73" i="21"/>
  <c r="AF73" i="21"/>
  <c r="AG73" i="21"/>
  <c r="AH73" i="21" s="1"/>
  <c r="T73" i="21"/>
  <c r="AB73" i="21"/>
  <c r="H73" i="21" s="1"/>
  <c r="AN73" i="21" s="1"/>
  <c r="AR73" i="21"/>
  <c r="AT73" i="21"/>
  <c r="AI73" i="21"/>
  <c r="AJ73" i="21" s="1"/>
  <c r="AB77" i="21"/>
  <c r="AW77" i="21"/>
  <c r="AC77" i="21"/>
  <c r="E77" i="21"/>
  <c r="AF77" i="21"/>
  <c r="AU77" i="21"/>
  <c r="AV77" i="21" s="1"/>
  <c r="AG77" i="21"/>
  <c r="AH77" i="21" s="1"/>
  <c r="AT77" i="21"/>
  <c r="AR77" i="21"/>
  <c r="T77" i="21"/>
  <c r="AI77" i="21"/>
  <c r="AJ77" i="21" s="1"/>
  <c r="AT74" i="21"/>
  <c r="T74" i="21"/>
  <c r="AU74" i="21"/>
  <c r="AV74" i="21" s="1"/>
  <c r="AB74" i="21"/>
  <c r="AW74" i="21"/>
  <c r="AC74" i="21"/>
  <c r="AF74" i="21"/>
  <c r="AR74" i="21"/>
  <c r="AG74" i="21"/>
  <c r="AH74" i="21" s="1"/>
  <c r="AI74" i="21"/>
  <c r="AJ74" i="21" s="1"/>
  <c r="AF68" i="21"/>
  <c r="AG68" i="21"/>
  <c r="AH68" i="21" s="1"/>
  <c r="AR68" i="21"/>
  <c r="AT68" i="21"/>
  <c r="AB68" i="21"/>
  <c r="H68" i="21" s="1"/>
  <c r="AN68" i="21" s="1"/>
  <c r="AC68" i="21"/>
  <c r="T68" i="21"/>
  <c r="AU68" i="21"/>
  <c r="AV68" i="21" s="1"/>
  <c r="AW68" i="21"/>
  <c r="E68" i="21"/>
  <c r="AI68" i="21"/>
  <c r="AJ68" i="21" s="1"/>
  <c r="AF81" i="21"/>
  <c r="AG81" i="21"/>
  <c r="AH81" i="21" s="1"/>
  <c r="AW81" i="21"/>
  <c r="AR81" i="21"/>
  <c r="AT81" i="21"/>
  <c r="AB81" i="21"/>
  <c r="H81" i="21" s="1"/>
  <c r="AN81" i="21" s="1"/>
  <c r="E81" i="21"/>
  <c r="T81" i="21"/>
  <c r="AU81" i="21"/>
  <c r="AV81" i="21" s="1"/>
  <c r="AI81" i="21"/>
  <c r="AJ81" i="21" s="1"/>
  <c r="T82" i="21"/>
  <c r="AU82" i="21"/>
  <c r="AV82" i="21" s="1"/>
  <c r="AR82" i="21"/>
  <c r="AB82" i="21"/>
  <c r="H82" i="21" s="1"/>
  <c r="AN82" i="21" s="1"/>
  <c r="AW82" i="21"/>
  <c r="AC82" i="21"/>
  <c r="E82" i="21"/>
  <c r="AF82" i="21"/>
  <c r="AT82" i="21"/>
  <c r="AG82" i="21"/>
  <c r="AH82" i="21" s="1"/>
  <c r="AI82" i="21"/>
  <c r="AJ82" i="21" s="1"/>
  <c r="AR71" i="21"/>
  <c r="AG71" i="21"/>
  <c r="AH71" i="21" s="1"/>
  <c r="AT71" i="21"/>
  <c r="T71" i="21"/>
  <c r="AU71" i="21"/>
  <c r="AV71" i="21" s="1"/>
  <c r="AF71" i="21"/>
  <c r="AB71" i="21"/>
  <c r="H71" i="21" s="1"/>
  <c r="AN71" i="21" s="1"/>
  <c r="AW71" i="21"/>
  <c r="E71" i="21"/>
  <c r="AI71" i="21"/>
  <c r="AJ71" i="21" s="1"/>
  <c r="AG75" i="21"/>
  <c r="AH75" i="21" s="1"/>
  <c r="AR75" i="21"/>
  <c r="AT75" i="21"/>
  <c r="AF75" i="21"/>
  <c r="T75" i="21"/>
  <c r="AU75" i="21"/>
  <c r="AV75" i="21" s="1"/>
  <c r="AB75" i="21"/>
  <c r="H75" i="21" s="1"/>
  <c r="AN75" i="21" s="1"/>
  <c r="AW75" i="21"/>
  <c r="E75" i="21"/>
  <c r="AI75" i="21"/>
  <c r="AJ75" i="21" s="1"/>
  <c r="AW85" i="21"/>
  <c r="AG85" i="21"/>
  <c r="AH85" i="21" s="1"/>
  <c r="AR85" i="21"/>
  <c r="AU85" i="21"/>
  <c r="AV85" i="21" s="1"/>
  <c r="AB85" i="21"/>
  <c r="AT85" i="21"/>
  <c r="T85" i="21"/>
  <c r="E85" i="21"/>
  <c r="AF85" i="21"/>
  <c r="AI85" i="21"/>
  <c r="AJ85" i="21" s="1"/>
  <c r="AG84" i="21"/>
  <c r="AH84" i="21" s="1"/>
  <c r="AR84" i="21"/>
  <c r="AU84" i="21"/>
  <c r="AV84" i="21" s="1"/>
  <c r="AB84" i="21"/>
  <c r="H84" i="21" s="1"/>
  <c r="AN84" i="21" s="1"/>
  <c r="AT84" i="21"/>
  <c r="T84" i="21"/>
  <c r="AW84" i="21"/>
  <c r="AC84" i="21"/>
  <c r="E84" i="21"/>
  <c r="AF84" i="21"/>
  <c r="AI84" i="21"/>
  <c r="AJ84" i="21" s="1"/>
  <c r="AG83" i="21"/>
  <c r="AH83" i="21" s="1"/>
  <c r="AR83" i="21"/>
  <c r="AT83" i="21"/>
  <c r="AU83" i="21"/>
  <c r="AV83" i="21" s="1"/>
  <c r="T83" i="21"/>
  <c r="AB83" i="21"/>
  <c r="H83" i="21" s="1"/>
  <c r="AN83" i="21" s="1"/>
  <c r="AW83" i="21"/>
  <c r="AF83" i="21"/>
  <c r="AC83" i="21"/>
  <c r="E83" i="21"/>
  <c r="AI83" i="21"/>
  <c r="AJ83" i="21" s="1"/>
  <c r="AC80" i="21"/>
  <c r="E80" i="21"/>
  <c r="AF80" i="21"/>
  <c r="AG80" i="21"/>
  <c r="AH80" i="21" s="1"/>
  <c r="AT80" i="21"/>
  <c r="AR80" i="21"/>
  <c r="T80" i="21"/>
  <c r="AU80" i="21"/>
  <c r="AV80" i="21" s="1"/>
  <c r="AB80" i="21"/>
  <c r="H80" i="21" s="1"/>
  <c r="AN80" i="21" s="1"/>
  <c r="AW80" i="21"/>
  <c r="AI80" i="21"/>
  <c r="AJ80" i="21" s="1"/>
  <c r="AR78" i="21"/>
  <c r="AT78" i="21"/>
  <c r="AB78" i="21"/>
  <c r="E78" i="21"/>
  <c r="T78" i="21"/>
  <c r="AU78" i="21"/>
  <c r="AV78" i="21" s="1"/>
  <c r="AW78" i="21"/>
  <c r="AC78" i="21"/>
  <c r="AF78" i="21"/>
  <c r="AG78" i="21"/>
  <c r="AH78" i="21" s="1"/>
  <c r="AI78" i="21"/>
  <c r="AJ78" i="21" s="1"/>
  <c r="L78" i="21" s="1"/>
  <c r="T76" i="21"/>
  <c r="AU76" i="21"/>
  <c r="AV76" i="21" s="1"/>
  <c r="AT76" i="21"/>
  <c r="AB76" i="21"/>
  <c r="H76" i="21" s="1"/>
  <c r="AN76" i="21" s="1"/>
  <c r="AW76" i="21"/>
  <c r="AC76" i="21"/>
  <c r="E76" i="21"/>
  <c r="AF76" i="21"/>
  <c r="AG76" i="21"/>
  <c r="AH76" i="21" s="1"/>
  <c r="AR76" i="21"/>
  <c r="AI76" i="21"/>
  <c r="AJ76" i="21" s="1"/>
  <c r="AB72" i="21"/>
  <c r="AW72" i="21"/>
  <c r="AC72" i="21"/>
  <c r="AF72" i="21"/>
  <c r="AR72" i="21"/>
  <c r="AG72" i="21"/>
  <c r="AH72" i="21" s="1"/>
  <c r="AT72" i="21"/>
  <c r="T72" i="21"/>
  <c r="AU72" i="21"/>
  <c r="AV72" i="21" s="1"/>
  <c r="E72" i="21"/>
  <c r="AI72" i="21"/>
  <c r="AJ72" i="21" s="1"/>
  <c r="AG70" i="21"/>
  <c r="AH70" i="21" s="1"/>
  <c r="AR70" i="21"/>
  <c r="AT70" i="21"/>
  <c r="T70" i="21"/>
  <c r="AU70" i="21"/>
  <c r="AV70" i="21" s="1"/>
  <c r="AB70" i="21"/>
  <c r="H70" i="21" s="1"/>
  <c r="AN70" i="21" s="1"/>
  <c r="AW70" i="21"/>
  <c r="AC70" i="21"/>
  <c r="E70" i="21"/>
  <c r="AF70" i="21"/>
  <c r="AI70" i="21"/>
  <c r="AJ70" i="21" s="1"/>
  <c r="V70" i="21"/>
  <c r="V85" i="21"/>
  <c r="AU67" i="21"/>
  <c r="AV67" i="21" s="1"/>
  <c r="AB67" i="21"/>
  <c r="H67" i="21" s="1"/>
  <c r="AN67" i="21" s="1"/>
  <c r="AW67" i="21"/>
  <c r="E67" i="21"/>
  <c r="T67" i="21"/>
  <c r="AF67" i="21"/>
  <c r="AG67" i="21"/>
  <c r="AH67" i="21" s="1"/>
  <c r="AR67" i="21"/>
  <c r="AT67" i="21"/>
  <c r="AI67" i="21"/>
  <c r="AJ67" i="21" s="1"/>
  <c r="AI71" i="22"/>
  <c r="AJ71" i="22" s="1"/>
  <c r="AG71" i="22"/>
  <c r="AH71" i="22" s="1"/>
  <c r="X71" i="22"/>
  <c r="AR71" i="22"/>
  <c r="AF71" i="22"/>
  <c r="W71" i="22"/>
  <c r="AW71" i="22"/>
  <c r="V71" i="22"/>
  <c r="AU71" i="22"/>
  <c r="AV71" i="22" s="1"/>
  <c r="AC71" i="22"/>
  <c r="AT71" i="22"/>
  <c r="AB71" i="22"/>
  <c r="H71" i="22" s="1"/>
  <c r="AN71" i="22" s="1"/>
  <c r="T71" i="22"/>
  <c r="AU70" i="22"/>
  <c r="AV70" i="22" s="1"/>
  <c r="AC70" i="22"/>
  <c r="AT70" i="22"/>
  <c r="AB70" i="22"/>
  <c r="H70" i="22" s="1"/>
  <c r="AN70" i="22" s="1"/>
  <c r="T70" i="22"/>
  <c r="AR70" i="22"/>
  <c r="AI70" i="22"/>
  <c r="AJ70" i="22" s="1"/>
  <c r="X70" i="22"/>
  <c r="AW70" i="22"/>
  <c r="V70" i="22"/>
  <c r="AG70" i="22"/>
  <c r="AH70" i="22" s="1"/>
  <c r="W70" i="22"/>
  <c r="AF70" i="22"/>
  <c r="AU69" i="22"/>
  <c r="AV69" i="22" s="1"/>
  <c r="AT69" i="22"/>
  <c r="AB69" i="22"/>
  <c r="T69" i="22"/>
  <c r="AR69" i="22"/>
  <c r="X69" i="22"/>
  <c r="AG69" i="22"/>
  <c r="AH69" i="22" s="1"/>
  <c r="W69" i="22"/>
  <c r="AW69" i="22"/>
  <c r="AF69" i="22"/>
  <c r="V69" i="22"/>
  <c r="AI69" i="22"/>
  <c r="AJ69" i="22" s="1"/>
  <c r="H69" i="22"/>
  <c r="AN69" i="22" s="1"/>
  <c r="AI68" i="22"/>
  <c r="AJ68" i="22" s="1"/>
  <c r="X68" i="22"/>
  <c r="AG68" i="22"/>
  <c r="AH68" i="22" s="1"/>
  <c r="W68" i="22"/>
  <c r="AW68" i="22"/>
  <c r="AF68" i="22"/>
  <c r="V68" i="22"/>
  <c r="AU68" i="22"/>
  <c r="AV68" i="22" s="1"/>
  <c r="AC68" i="22"/>
  <c r="AT68" i="22"/>
  <c r="AB68" i="22"/>
  <c r="H68" i="22" s="1"/>
  <c r="AN68" i="22" s="1"/>
  <c r="T68" i="22"/>
  <c r="AR68" i="22"/>
  <c r="AG13" i="22"/>
  <c r="AB67" i="22"/>
  <c r="H67" i="22" s="1"/>
  <c r="AN67" i="22" s="1"/>
  <c r="AI67" i="22"/>
  <c r="AJ67" i="22" s="1"/>
  <c r="X67" i="22"/>
  <c r="AG67" i="22"/>
  <c r="W67" i="22"/>
  <c r="AW67" i="22"/>
  <c r="AF67" i="22"/>
  <c r="V67" i="22"/>
  <c r="T67" i="22"/>
  <c r="AU67" i="22"/>
  <c r="AV67" i="22" s="1"/>
  <c r="AC67" i="22"/>
  <c r="AB66" i="22"/>
  <c r="H66" i="22" s="1"/>
  <c r="AN66" i="22" s="1"/>
  <c r="AI66" i="22"/>
  <c r="AJ66" i="22" s="1"/>
  <c r="AG66" i="22"/>
  <c r="AH66" i="22" s="1"/>
  <c r="AF66" i="22"/>
  <c r="X66" i="22"/>
  <c r="AW66" i="22"/>
  <c r="W66" i="22"/>
  <c r="AU66" i="22"/>
  <c r="AV66" i="22" s="1"/>
  <c r="AC66" i="22"/>
  <c r="U66" i="22"/>
  <c r="T66" i="22"/>
  <c r="X23" i="21"/>
  <c r="W78" i="21"/>
  <c r="X14" i="21"/>
  <c r="W69" i="21"/>
  <c r="X22" i="21"/>
  <c r="W77" i="21"/>
  <c r="X19" i="21"/>
  <c r="W74" i="21"/>
  <c r="X13" i="21"/>
  <c r="W68" i="21"/>
  <c r="X25" i="21"/>
  <c r="W80" i="21"/>
  <c r="X30" i="21"/>
  <c r="W85" i="21"/>
  <c r="X15" i="21"/>
  <c r="W70" i="21"/>
  <c r="X27" i="21"/>
  <c r="W82" i="21"/>
  <c r="X26" i="21"/>
  <c r="W81" i="21"/>
  <c r="X21" i="21"/>
  <c r="W76" i="21"/>
  <c r="X18" i="21"/>
  <c r="W73" i="21"/>
  <c r="X12" i="21"/>
  <c r="W67" i="21"/>
  <c r="X16" i="21"/>
  <c r="W71" i="21"/>
  <c r="X20" i="21"/>
  <c r="W75" i="21"/>
  <c r="X24" i="21"/>
  <c r="W79" i="21"/>
  <c r="X29" i="21"/>
  <c r="W84" i="21"/>
  <c r="X17" i="21"/>
  <c r="W72" i="21"/>
  <c r="X28" i="21"/>
  <c r="W83" i="21"/>
  <c r="H85" i="21"/>
  <c r="AN85" i="21" s="1"/>
  <c r="H78" i="21"/>
  <c r="AN78" i="21" s="1"/>
  <c r="H77" i="21"/>
  <c r="AN77" i="21" s="1"/>
  <c r="H74" i="21"/>
  <c r="AN74" i="21" s="1"/>
  <c r="H72" i="21"/>
  <c r="AN72" i="21" s="1"/>
  <c r="H69" i="21"/>
  <c r="AN69" i="21" s="1"/>
  <c r="X66" i="21"/>
  <c r="AF66" i="21"/>
  <c r="W66" i="21"/>
  <c r="AC66" i="21"/>
  <c r="AU66" i="21"/>
  <c r="AV66" i="21" s="1"/>
  <c r="AB66" i="21"/>
  <c r="H66" i="21" s="1"/>
  <c r="AN66" i="21" s="1"/>
  <c r="E66" i="21"/>
  <c r="AW66" i="21"/>
  <c r="AI66" i="21"/>
  <c r="AJ66" i="21" s="1"/>
  <c r="C77" i="22"/>
  <c r="AD20" i="21"/>
  <c r="AC75" i="21" s="1"/>
  <c r="E74" i="21"/>
  <c r="AC27" i="22"/>
  <c r="AC49" i="22"/>
  <c r="AC17" i="22"/>
  <c r="AD25" i="22"/>
  <c r="C68" i="22"/>
  <c r="C70" i="21"/>
  <c r="C67" i="21"/>
  <c r="AC41" i="22"/>
  <c r="C83" i="22"/>
  <c r="AC45" i="22"/>
  <c r="AH19" i="22"/>
  <c r="AC54" i="22"/>
  <c r="AC19" i="22"/>
  <c r="AC44" i="22"/>
  <c r="AC48" i="22"/>
  <c r="AC52" i="22"/>
  <c r="AC13" i="22"/>
  <c r="AC56" i="22"/>
  <c r="C71" i="22"/>
  <c r="AC15" i="22"/>
  <c r="I86" i="22"/>
  <c r="C79" i="22"/>
  <c r="V11" i="22"/>
  <c r="N11" i="22" s="1"/>
  <c r="AH11" i="22"/>
  <c r="AC58" i="22"/>
  <c r="C81" i="22"/>
  <c r="C73" i="22"/>
  <c r="AC40" i="22"/>
  <c r="AC42" i="22"/>
  <c r="AC46" i="22"/>
  <c r="AC50" i="22"/>
  <c r="AC57" i="22"/>
  <c r="AH13" i="22"/>
  <c r="AC21" i="22"/>
  <c r="AC23" i="22"/>
  <c r="C82" i="22"/>
  <c r="AC11" i="22"/>
  <c r="AC29" i="22"/>
  <c r="C70" i="22"/>
  <c r="O32" i="22"/>
  <c r="AD24" i="21"/>
  <c r="AC79" i="21" s="1"/>
  <c r="V84" i="21"/>
  <c r="C79" i="21"/>
  <c r="AD22" i="21"/>
  <c r="AD18" i="21"/>
  <c r="AC73" i="21" s="1"/>
  <c r="V82" i="21"/>
  <c r="C77" i="21"/>
  <c r="C81" i="21"/>
  <c r="AD30" i="21"/>
  <c r="AC85" i="21" s="1"/>
  <c r="V81" i="21"/>
  <c r="V83" i="21"/>
  <c r="V77" i="21"/>
  <c r="V78" i="21"/>
  <c r="V79" i="21"/>
  <c r="V80" i="21"/>
  <c r="AD16" i="21"/>
  <c r="AC71" i="21" s="1"/>
  <c r="V73" i="21"/>
  <c r="V74" i="21"/>
  <c r="V75" i="21"/>
  <c r="V76" i="21"/>
  <c r="V72" i="21"/>
  <c r="C85" i="21"/>
  <c r="AD26" i="21"/>
  <c r="AC81" i="21" s="1"/>
  <c r="AC28" i="21"/>
  <c r="C71" i="21"/>
  <c r="C83" i="21"/>
  <c r="C73" i="21"/>
  <c r="AC12" i="21"/>
  <c r="C69" i="21"/>
  <c r="AD12" i="21"/>
  <c r="AC67" i="21" s="1"/>
  <c r="I86" i="21"/>
  <c r="AC22" i="22"/>
  <c r="AH12" i="22"/>
  <c r="AD14" i="22"/>
  <c r="AD18" i="22"/>
  <c r="AD26" i="22"/>
  <c r="AD30" i="22"/>
  <c r="AC39" i="22"/>
  <c r="AC43" i="22"/>
  <c r="AC47" i="22"/>
  <c r="AC51" i="22"/>
  <c r="AC55" i="22"/>
  <c r="C66" i="22"/>
  <c r="C80" i="22"/>
  <c r="AC14" i="22"/>
  <c r="AC12" i="22"/>
  <c r="AC16" i="22"/>
  <c r="AC20" i="22"/>
  <c r="AC24" i="22"/>
  <c r="AC28" i="22"/>
  <c r="M31" i="22"/>
  <c r="AH14" i="22"/>
  <c r="C69" i="22"/>
  <c r="C67" i="22"/>
  <c r="C72" i="22"/>
  <c r="C74" i="22"/>
  <c r="C78" i="22"/>
  <c r="C75" i="22"/>
  <c r="C76" i="22"/>
  <c r="C84" i="22"/>
  <c r="AG11" i="21"/>
  <c r="AC13" i="21"/>
  <c r="AC17" i="21"/>
  <c r="AC21" i="21"/>
  <c r="AC25" i="21"/>
  <c r="AC29" i="21"/>
  <c r="C74" i="21"/>
  <c r="C68" i="21"/>
  <c r="C76" i="21"/>
  <c r="AC14" i="21"/>
  <c r="C78" i="21"/>
  <c r="AC15" i="21"/>
  <c r="AC19" i="21"/>
  <c r="AC23" i="21"/>
  <c r="AC27" i="21"/>
  <c r="AC39" i="21"/>
  <c r="AC40" i="21"/>
  <c r="AC41" i="21"/>
  <c r="AC42" i="21"/>
  <c r="AC43" i="21"/>
  <c r="AC44" i="21"/>
  <c r="AC45" i="21"/>
  <c r="AC46" i="21"/>
  <c r="AC47" i="21"/>
  <c r="AC48" i="21"/>
  <c r="AC49" i="21"/>
  <c r="AC50" i="21"/>
  <c r="AC51" i="21"/>
  <c r="AC52" i="21"/>
  <c r="AC53" i="21"/>
  <c r="AC54" i="21"/>
  <c r="AC55" i="21"/>
  <c r="AC56" i="21"/>
  <c r="AC57" i="21"/>
  <c r="AC58" i="21"/>
  <c r="C72" i="21"/>
  <c r="C75" i="21"/>
  <c r="AC11" i="21"/>
  <c r="C66" i="21"/>
  <c r="C80" i="21"/>
  <c r="C82" i="21"/>
  <c r="C84" i="21"/>
  <c r="V66" i="21" l="1"/>
  <c r="N11" i="21"/>
  <c r="L11" i="21"/>
  <c r="L31" i="21" s="1"/>
  <c r="D12" i="11" s="1"/>
  <c r="AD85" i="22"/>
  <c r="AD83" i="22"/>
  <c r="AD82" i="22"/>
  <c r="AD80" i="22"/>
  <c r="AE80" i="22" s="1"/>
  <c r="AD79" i="22"/>
  <c r="AE79" i="22" s="1"/>
  <c r="L78" i="22"/>
  <c r="AD78" i="22"/>
  <c r="AD77" i="22"/>
  <c r="AE77" i="22" s="1"/>
  <c r="AD76" i="22"/>
  <c r="AE76" i="22" s="1"/>
  <c r="AD75" i="22"/>
  <c r="AD74" i="22"/>
  <c r="AE74" i="22" s="1"/>
  <c r="AD71" i="22"/>
  <c r="AE71" i="22" s="1"/>
  <c r="AD70" i="22"/>
  <c r="AE70" i="22" s="1"/>
  <c r="AD68" i="22"/>
  <c r="AD67" i="22"/>
  <c r="AE30" i="22"/>
  <c r="AF30" i="22"/>
  <c r="AE26" i="22"/>
  <c r="AF26" i="22"/>
  <c r="AE25" i="22"/>
  <c r="AF25" i="22"/>
  <c r="AE18" i="22"/>
  <c r="AF18" i="22"/>
  <c r="AC69" i="22"/>
  <c r="AD69" i="22" s="1"/>
  <c r="AE14" i="22"/>
  <c r="AF14" i="22"/>
  <c r="G103" i="22"/>
  <c r="AD84" i="21"/>
  <c r="X85" i="21"/>
  <c r="L85" i="21" s="1"/>
  <c r="AF30" i="21"/>
  <c r="AE30" i="21"/>
  <c r="X84" i="21"/>
  <c r="L84" i="21" s="1"/>
  <c r="M84" i="21" s="1"/>
  <c r="AF29" i="21"/>
  <c r="AE29" i="21"/>
  <c r="X83" i="21"/>
  <c r="L83" i="21" s="1"/>
  <c r="AF28" i="21"/>
  <c r="AE28" i="21"/>
  <c r="X82" i="21"/>
  <c r="L82" i="21" s="1"/>
  <c r="AF27" i="21"/>
  <c r="AE27" i="21"/>
  <c r="X81" i="21"/>
  <c r="L81" i="21" s="1"/>
  <c r="AF26" i="21"/>
  <c r="AE26" i="21"/>
  <c r="X80" i="21"/>
  <c r="AD80" i="21" s="1"/>
  <c r="AE80" i="21" s="1"/>
  <c r="AF25" i="21"/>
  <c r="AE25" i="21"/>
  <c r="X79" i="21"/>
  <c r="AD79" i="21" s="1"/>
  <c r="AE79" i="21" s="1"/>
  <c r="AF24" i="21"/>
  <c r="AE24" i="21"/>
  <c r="X78" i="21"/>
  <c r="AF23" i="21"/>
  <c r="AE23" i="21"/>
  <c r="X77" i="21"/>
  <c r="AF22" i="21"/>
  <c r="AE22" i="21"/>
  <c r="X76" i="21"/>
  <c r="AF21" i="21"/>
  <c r="AE21" i="21"/>
  <c r="X75" i="21"/>
  <c r="AD75" i="21" s="1"/>
  <c r="AE75" i="21" s="1"/>
  <c r="AF20" i="21"/>
  <c r="AE20" i="21"/>
  <c r="X74" i="21"/>
  <c r="L74" i="21" s="1"/>
  <c r="AF19" i="21"/>
  <c r="AE19" i="21"/>
  <c r="X73" i="21"/>
  <c r="L73" i="21" s="1"/>
  <c r="AF18" i="21"/>
  <c r="AE18" i="21"/>
  <c r="X72" i="21"/>
  <c r="L72" i="21" s="1"/>
  <c r="AF17" i="21"/>
  <c r="AE17" i="21"/>
  <c r="X71" i="21"/>
  <c r="AF16" i="21"/>
  <c r="AE16" i="21"/>
  <c r="X70" i="21"/>
  <c r="L70" i="21" s="1"/>
  <c r="AF15" i="21"/>
  <c r="AE15" i="21"/>
  <c r="AF14" i="21"/>
  <c r="AE14" i="21"/>
  <c r="AF13" i="21"/>
  <c r="AE13" i="21"/>
  <c r="N12" i="21"/>
  <c r="AE12" i="21"/>
  <c r="AF12" i="21"/>
  <c r="AF11" i="21"/>
  <c r="G105" i="21"/>
  <c r="H105" i="21" s="1"/>
  <c r="G106" i="21"/>
  <c r="AD66" i="21"/>
  <c r="AF11" i="22"/>
  <c r="AE11" i="22"/>
  <c r="AE81" i="22"/>
  <c r="AE73" i="22"/>
  <c r="AE84" i="22"/>
  <c r="AE72" i="22"/>
  <c r="AE78" i="22"/>
  <c r="AE85" i="22"/>
  <c r="AE83" i="22"/>
  <c r="AE82" i="22"/>
  <c r="V69" i="21"/>
  <c r="L69" i="21" s="1"/>
  <c r="V67" i="21"/>
  <c r="V68" i="21"/>
  <c r="AD68" i="21" s="1"/>
  <c r="AE75" i="22"/>
  <c r="X69" i="21"/>
  <c r="X68" i="21"/>
  <c r="AH67" i="22"/>
  <c r="L67" i="22" s="1"/>
  <c r="BL84" i="22"/>
  <c r="BL72" i="22"/>
  <c r="BL70" i="22"/>
  <c r="BL83" i="22"/>
  <c r="BL75" i="22"/>
  <c r="BL82" i="22"/>
  <c r="BL79" i="22"/>
  <c r="BL85" i="22"/>
  <c r="BL71" i="22"/>
  <c r="BL81" i="22"/>
  <c r="BL67" i="22"/>
  <c r="BL76" i="22"/>
  <c r="BL80" i="22"/>
  <c r="BL77" i="22"/>
  <c r="BL73" i="22"/>
  <c r="BL78" i="22"/>
  <c r="BL68" i="22"/>
  <c r="BL66" i="22"/>
  <c r="BL69" i="22"/>
  <c r="BL74" i="22"/>
  <c r="AP75" i="22"/>
  <c r="L75" i="22" s="1"/>
  <c r="AO75" i="22"/>
  <c r="BJ78" i="22"/>
  <c r="BJ77" i="22"/>
  <c r="BJ79" i="22"/>
  <c r="BJ68" i="22"/>
  <c r="BJ67" i="22"/>
  <c r="BJ75" i="22"/>
  <c r="BJ84" i="22"/>
  <c r="BJ73" i="22"/>
  <c r="BJ81" i="22"/>
  <c r="BJ70" i="22"/>
  <c r="BJ83" i="22"/>
  <c r="BJ74" i="22"/>
  <c r="BJ69" i="22"/>
  <c r="BJ66" i="22"/>
  <c r="BJ82" i="22"/>
  <c r="BJ72" i="22"/>
  <c r="BJ85" i="22"/>
  <c r="BJ80" i="22"/>
  <c r="BJ71" i="22"/>
  <c r="BJ76" i="22"/>
  <c r="AP81" i="22"/>
  <c r="L81" i="22" s="1"/>
  <c r="AO81" i="22"/>
  <c r="BQ83" i="22"/>
  <c r="BQ72" i="22"/>
  <c r="BQ80" i="22"/>
  <c r="BQ70" i="22"/>
  <c r="BQ69" i="22"/>
  <c r="BQ76" i="22"/>
  <c r="BQ71" i="22"/>
  <c r="BQ73" i="22"/>
  <c r="BQ67" i="22"/>
  <c r="BQ74" i="22"/>
  <c r="BQ79" i="22"/>
  <c r="BQ85" i="22"/>
  <c r="BQ77" i="22"/>
  <c r="BQ82" i="22"/>
  <c r="BQ84" i="22"/>
  <c r="BQ68" i="22"/>
  <c r="BQ75" i="22"/>
  <c r="BQ66" i="22"/>
  <c r="BQ81" i="22"/>
  <c r="BQ78" i="22"/>
  <c r="AP73" i="22"/>
  <c r="L73" i="22" s="1"/>
  <c r="AO73" i="22"/>
  <c r="BR78" i="22"/>
  <c r="BR76" i="22"/>
  <c r="BR72" i="22"/>
  <c r="BR67" i="22"/>
  <c r="BR77" i="22"/>
  <c r="BR79" i="22"/>
  <c r="BR73" i="22"/>
  <c r="BR70" i="22"/>
  <c r="BR68" i="22"/>
  <c r="BR84" i="22"/>
  <c r="BR75" i="22"/>
  <c r="BR81" i="22"/>
  <c r="BR66" i="22"/>
  <c r="BR83" i="22"/>
  <c r="BR74" i="22"/>
  <c r="BR80" i="22"/>
  <c r="BR69" i="22"/>
  <c r="BR82" i="22"/>
  <c r="BR71" i="22"/>
  <c r="BR85" i="22"/>
  <c r="BK81" i="22"/>
  <c r="BK71" i="22"/>
  <c r="BK70" i="22"/>
  <c r="BK67" i="22"/>
  <c r="BK73" i="22"/>
  <c r="BK82" i="22"/>
  <c r="BK74" i="22"/>
  <c r="BK83" i="22"/>
  <c r="BK85" i="22"/>
  <c r="BK76" i="22"/>
  <c r="BK80" i="22"/>
  <c r="BK79" i="22"/>
  <c r="BK75" i="22"/>
  <c r="BK78" i="22"/>
  <c r="BK72" i="22"/>
  <c r="BK66" i="22"/>
  <c r="BK84" i="22"/>
  <c r="BK68" i="22"/>
  <c r="BK69" i="22"/>
  <c r="BK77" i="22"/>
  <c r="AP78" i="22"/>
  <c r="AO78" i="22"/>
  <c r="AP83" i="22"/>
  <c r="L83" i="22" s="1"/>
  <c r="AO83" i="22"/>
  <c r="BO85" i="22"/>
  <c r="BO70" i="22"/>
  <c r="BO76" i="22"/>
  <c r="BO74" i="22"/>
  <c r="BO83" i="22"/>
  <c r="BO72" i="22"/>
  <c r="BO80" i="22"/>
  <c r="BO69" i="22"/>
  <c r="BO66" i="22"/>
  <c r="BO82" i="22"/>
  <c r="BO73" i="22"/>
  <c r="BO71" i="22"/>
  <c r="BO68" i="22"/>
  <c r="BO81" i="22"/>
  <c r="BO84" i="22"/>
  <c r="BO75" i="22"/>
  <c r="BO79" i="22"/>
  <c r="BO67" i="22"/>
  <c r="BO78" i="22"/>
  <c r="BO77" i="22"/>
  <c r="BN82" i="22"/>
  <c r="BN77" i="22"/>
  <c r="BN78" i="22"/>
  <c r="BN85" i="22"/>
  <c r="BN84" i="22"/>
  <c r="BN66" i="22"/>
  <c r="BN71" i="22"/>
  <c r="BN83" i="22"/>
  <c r="BN80" i="22"/>
  <c r="BN75" i="22"/>
  <c r="BN68" i="22"/>
  <c r="BN67" i="22"/>
  <c r="BN70" i="22"/>
  <c r="BN73" i="22"/>
  <c r="BN69" i="22"/>
  <c r="BN81" i="22"/>
  <c r="BN74" i="22"/>
  <c r="BN76" i="22"/>
  <c r="BN72" i="22"/>
  <c r="BN79" i="22"/>
  <c r="BU85" i="22"/>
  <c r="BU68" i="22"/>
  <c r="BU83" i="22"/>
  <c r="BU66" i="22"/>
  <c r="BU81" i="22"/>
  <c r="BU84" i="22"/>
  <c r="BU77" i="22"/>
  <c r="BU72" i="22"/>
  <c r="BU69" i="22"/>
  <c r="BU79" i="22"/>
  <c r="BU74" i="22"/>
  <c r="BU76" i="22"/>
  <c r="BU70" i="22"/>
  <c r="BU71" i="22"/>
  <c r="BU67" i="22"/>
  <c r="BU78" i="22"/>
  <c r="BU80" i="22"/>
  <c r="BU73" i="22"/>
  <c r="BU75" i="22"/>
  <c r="BU82" i="22"/>
  <c r="AO84" i="22"/>
  <c r="AP84" i="22"/>
  <c r="L84" i="22" s="1"/>
  <c r="AO80" i="22"/>
  <c r="AP80" i="22"/>
  <c r="L80" i="22" s="1"/>
  <c r="AO72" i="22"/>
  <c r="AP72" i="22"/>
  <c r="L72" i="22" s="1"/>
  <c r="BS84" i="22"/>
  <c r="BS81" i="22"/>
  <c r="BS80" i="22"/>
  <c r="BS83" i="22"/>
  <c r="BS76" i="22"/>
  <c r="BS66" i="22"/>
  <c r="BS78" i="22"/>
  <c r="BS77" i="22"/>
  <c r="BS70" i="22"/>
  <c r="BS69" i="22"/>
  <c r="BS71" i="22"/>
  <c r="BS85" i="22"/>
  <c r="BS82" i="22"/>
  <c r="BS79" i="22"/>
  <c r="BS72" i="22"/>
  <c r="BS67" i="22"/>
  <c r="BS68" i="22"/>
  <c r="BS73" i="22"/>
  <c r="BS74" i="22"/>
  <c r="BS75" i="22"/>
  <c r="AP79" i="22"/>
  <c r="L79" i="22" s="1"/>
  <c r="AO79" i="22"/>
  <c r="AP85" i="22"/>
  <c r="L85" i="22" s="1"/>
  <c r="AO85" i="22"/>
  <c r="BI83" i="22"/>
  <c r="BI68" i="22"/>
  <c r="BI71" i="22"/>
  <c r="BI76" i="22"/>
  <c r="BI66" i="22"/>
  <c r="BI67" i="22"/>
  <c r="BI79" i="22"/>
  <c r="BI69" i="22"/>
  <c r="BI75" i="22"/>
  <c r="BI82" i="22"/>
  <c r="BI84" i="22"/>
  <c r="BI74" i="22"/>
  <c r="BI73" i="22"/>
  <c r="BI85" i="22"/>
  <c r="BI77" i="22"/>
  <c r="BI81" i="22"/>
  <c r="BI78" i="22"/>
  <c r="BI72" i="22"/>
  <c r="BI80" i="22"/>
  <c r="BI70" i="22"/>
  <c r="BT84" i="22"/>
  <c r="BT76" i="22"/>
  <c r="BT68" i="22"/>
  <c r="BT70" i="22"/>
  <c r="BT79" i="22"/>
  <c r="BT78" i="22"/>
  <c r="BT77" i="22"/>
  <c r="BT80" i="22"/>
  <c r="BT69" i="22"/>
  <c r="BT83" i="22"/>
  <c r="BT72" i="22"/>
  <c r="BT82" i="22"/>
  <c r="BT67" i="22"/>
  <c r="BT71" i="22"/>
  <c r="BT66" i="22"/>
  <c r="BT75" i="22"/>
  <c r="BT74" i="22"/>
  <c r="BT73" i="22"/>
  <c r="BT85" i="22"/>
  <c r="BT81" i="22"/>
  <c r="AP77" i="22"/>
  <c r="L77" i="22" s="1"/>
  <c r="AO77" i="22"/>
  <c r="AP76" i="22"/>
  <c r="L76" i="22" s="1"/>
  <c r="AO76" i="22"/>
  <c r="BP80" i="22"/>
  <c r="BP81" i="22"/>
  <c r="BP67" i="22"/>
  <c r="BP78" i="22"/>
  <c r="BP69" i="22"/>
  <c r="BP68" i="22"/>
  <c r="BP84" i="22"/>
  <c r="BP74" i="22"/>
  <c r="BP66" i="22"/>
  <c r="BP79" i="22"/>
  <c r="BP75" i="22"/>
  <c r="BP70" i="22"/>
  <c r="BP72" i="22"/>
  <c r="BP82" i="22"/>
  <c r="BP77" i="22"/>
  <c r="BP71" i="22"/>
  <c r="BP76" i="22"/>
  <c r="BP83" i="22"/>
  <c r="BP73" i="22"/>
  <c r="BP85" i="22"/>
  <c r="BH80" i="22"/>
  <c r="BH81" i="22"/>
  <c r="BH67" i="22"/>
  <c r="BH84" i="22"/>
  <c r="BH71" i="22"/>
  <c r="BH68" i="22"/>
  <c r="BH74" i="22"/>
  <c r="BH70" i="22"/>
  <c r="BH78" i="22"/>
  <c r="BH66" i="22"/>
  <c r="BH69" i="22"/>
  <c r="BH77" i="22"/>
  <c r="BH75" i="22"/>
  <c r="BH72" i="22"/>
  <c r="BH82" i="22"/>
  <c r="BH85" i="22"/>
  <c r="BH76" i="22"/>
  <c r="BH83" i="22"/>
  <c r="BH73" i="22"/>
  <c r="BH79" i="22"/>
  <c r="AP82" i="22"/>
  <c r="L82" i="22" s="1"/>
  <c r="AO82" i="22"/>
  <c r="AP74" i="22"/>
  <c r="L74" i="22" s="1"/>
  <c r="AO74" i="22"/>
  <c r="BM79" i="22"/>
  <c r="BM83" i="22"/>
  <c r="BM66" i="22"/>
  <c r="BM73" i="22"/>
  <c r="BM67" i="22"/>
  <c r="BM77" i="22"/>
  <c r="BM72" i="22"/>
  <c r="BM76" i="22"/>
  <c r="BM69" i="22"/>
  <c r="BM70" i="22"/>
  <c r="BM78" i="22"/>
  <c r="BM75" i="22"/>
  <c r="BM82" i="22"/>
  <c r="BM71" i="22"/>
  <c r="BM84" i="22"/>
  <c r="BM85" i="22"/>
  <c r="BM68" i="22"/>
  <c r="BM74" i="22"/>
  <c r="BM81" i="22"/>
  <c r="BM80" i="22"/>
  <c r="X67" i="21"/>
  <c r="BE76" i="21"/>
  <c r="BE66" i="21"/>
  <c r="BE78" i="21"/>
  <c r="BE85" i="21"/>
  <c r="BE81" i="21"/>
  <c r="BE84" i="21"/>
  <c r="BE80" i="21"/>
  <c r="BE74" i="21"/>
  <c r="BE79" i="21"/>
  <c r="BE83" i="21"/>
  <c r="BE75" i="21"/>
  <c r="BE67" i="21"/>
  <c r="BE77" i="21"/>
  <c r="BE73" i="21"/>
  <c r="BE72" i="21"/>
  <c r="BE69" i="21"/>
  <c r="BE70" i="21"/>
  <c r="BE71" i="21"/>
  <c r="BE68" i="21"/>
  <c r="BE82" i="21"/>
  <c r="BO72" i="21"/>
  <c r="BO82" i="21"/>
  <c r="BO66" i="21"/>
  <c r="BO85" i="21"/>
  <c r="BO70" i="21"/>
  <c r="BO80" i="21"/>
  <c r="BO79" i="21"/>
  <c r="BO78" i="21"/>
  <c r="BO84" i="21"/>
  <c r="BO68" i="21"/>
  <c r="BO83" i="21"/>
  <c r="BO71" i="21"/>
  <c r="BO73" i="21"/>
  <c r="BO77" i="21"/>
  <c r="BO67" i="21"/>
  <c r="BO74" i="21"/>
  <c r="BO76" i="21"/>
  <c r="BO75" i="21"/>
  <c r="BO81" i="21"/>
  <c r="BO69" i="21"/>
  <c r="BK67" i="21"/>
  <c r="BK82" i="21"/>
  <c r="BK80" i="21"/>
  <c r="BK84" i="21"/>
  <c r="BK75" i="21"/>
  <c r="BK78" i="21"/>
  <c r="BK81" i="21"/>
  <c r="BK71" i="21"/>
  <c r="BK68" i="21"/>
  <c r="BK70" i="21"/>
  <c r="BK85" i="21"/>
  <c r="BK83" i="21"/>
  <c r="BK74" i="21"/>
  <c r="BK69" i="21"/>
  <c r="BK66" i="21"/>
  <c r="BK76" i="21"/>
  <c r="BK72" i="21"/>
  <c r="BK73" i="21"/>
  <c r="BK77" i="21"/>
  <c r="BK79" i="21"/>
  <c r="BD67" i="21"/>
  <c r="BD78" i="21"/>
  <c r="BD83" i="21"/>
  <c r="BD76" i="21"/>
  <c r="BD81" i="21"/>
  <c r="BD74" i="21"/>
  <c r="BD79" i="21"/>
  <c r="BD66" i="21"/>
  <c r="BD80" i="21"/>
  <c r="BD85" i="21"/>
  <c r="BD69" i="21"/>
  <c r="BD72" i="21"/>
  <c r="BD77" i="21"/>
  <c r="BD82" i="21"/>
  <c r="BD70" i="21"/>
  <c r="BD75" i="21"/>
  <c r="BD71" i="21"/>
  <c r="BD84" i="21"/>
  <c r="BD68" i="21"/>
  <c r="BD73" i="21"/>
  <c r="BM71" i="21"/>
  <c r="BM76" i="21"/>
  <c r="BM77" i="21"/>
  <c r="BM81" i="21"/>
  <c r="BM72" i="21"/>
  <c r="BM82" i="21"/>
  <c r="BM75" i="21"/>
  <c r="BM70" i="21"/>
  <c r="BM73" i="21"/>
  <c r="BM78" i="21"/>
  <c r="BM67" i="21"/>
  <c r="BM79" i="21"/>
  <c r="BM68" i="21"/>
  <c r="BM74" i="21"/>
  <c r="BM84" i="21"/>
  <c r="BM85" i="21"/>
  <c r="BM80" i="21"/>
  <c r="BM83" i="21"/>
  <c r="BM69" i="21"/>
  <c r="BM66" i="21"/>
  <c r="BJ73" i="21"/>
  <c r="BJ66" i="21"/>
  <c r="BJ68" i="21"/>
  <c r="BJ85" i="21"/>
  <c r="BJ82" i="21"/>
  <c r="BJ72" i="21"/>
  <c r="BJ84" i="21"/>
  <c r="BJ80" i="21"/>
  <c r="BJ69" i="21"/>
  <c r="BJ79" i="21"/>
  <c r="BJ78" i="21"/>
  <c r="BJ67" i="21"/>
  <c r="BJ70" i="21"/>
  <c r="BJ76" i="21"/>
  <c r="BJ74" i="21"/>
  <c r="BJ77" i="21"/>
  <c r="BJ71" i="21"/>
  <c r="BJ83" i="21"/>
  <c r="BJ75" i="21"/>
  <c r="BJ81" i="21"/>
  <c r="BI66" i="21"/>
  <c r="BI83" i="21"/>
  <c r="BI76" i="21"/>
  <c r="BI72" i="21"/>
  <c r="BI81" i="21"/>
  <c r="BI71" i="21"/>
  <c r="BI69" i="21"/>
  <c r="BI70" i="21"/>
  <c r="BI80" i="21"/>
  <c r="BI77" i="21"/>
  <c r="BI73" i="21"/>
  <c r="BI68" i="21"/>
  <c r="BI84" i="21"/>
  <c r="BI79" i="21"/>
  <c r="BI78" i="21"/>
  <c r="BI67" i="21"/>
  <c r="BI75" i="21"/>
  <c r="BI82" i="21"/>
  <c r="BI85" i="21"/>
  <c r="BI74" i="21"/>
  <c r="BQ66" i="21"/>
  <c r="BQ76" i="21"/>
  <c r="BQ68" i="21"/>
  <c r="BQ77" i="21"/>
  <c r="BQ75" i="21"/>
  <c r="BQ71" i="21"/>
  <c r="BQ72" i="21"/>
  <c r="BQ69" i="21"/>
  <c r="BQ85" i="21"/>
  <c r="BQ67" i="21"/>
  <c r="BQ80" i="21"/>
  <c r="BQ84" i="21"/>
  <c r="BQ83" i="21"/>
  <c r="BQ73" i="21"/>
  <c r="BQ74" i="21"/>
  <c r="BQ79" i="21"/>
  <c r="BQ70" i="21"/>
  <c r="BQ82" i="21"/>
  <c r="BQ81" i="21"/>
  <c r="BQ78" i="21"/>
  <c r="BG69" i="21"/>
  <c r="BG66" i="21"/>
  <c r="BG77" i="21"/>
  <c r="BG85" i="21"/>
  <c r="BG75" i="21"/>
  <c r="BG73" i="21"/>
  <c r="BG76" i="21"/>
  <c r="BG84" i="21"/>
  <c r="BG68" i="21"/>
  <c r="BG74" i="21"/>
  <c r="BG80" i="21"/>
  <c r="BG79" i="21"/>
  <c r="BG70" i="21"/>
  <c r="BG81" i="21"/>
  <c r="BG72" i="21"/>
  <c r="BG78" i="21"/>
  <c r="BG82" i="21"/>
  <c r="BG67" i="21"/>
  <c r="BG83" i="21"/>
  <c r="BG71" i="21"/>
  <c r="BR68" i="21"/>
  <c r="BR76" i="21"/>
  <c r="BR71" i="21"/>
  <c r="BR82" i="21"/>
  <c r="BR83" i="21"/>
  <c r="BR72" i="21"/>
  <c r="BR74" i="21"/>
  <c r="BR79" i="21"/>
  <c r="BR80" i="21"/>
  <c r="BR67" i="21"/>
  <c r="BR70" i="21"/>
  <c r="BR66" i="21"/>
  <c r="BR75" i="21"/>
  <c r="BR69" i="21"/>
  <c r="BR85" i="21"/>
  <c r="BR77" i="21"/>
  <c r="BR78" i="21"/>
  <c r="BR73" i="21"/>
  <c r="BR81" i="21"/>
  <c r="BR84" i="21"/>
  <c r="BU67" i="21"/>
  <c r="BU76" i="21"/>
  <c r="BU72" i="21"/>
  <c r="BU66" i="21"/>
  <c r="BU69" i="21"/>
  <c r="BU77" i="21"/>
  <c r="BU70" i="21"/>
  <c r="BU85" i="21"/>
  <c r="BU74" i="21"/>
  <c r="BU75" i="21"/>
  <c r="BU82" i="21"/>
  <c r="BU83" i="21"/>
  <c r="BU80" i="21"/>
  <c r="BU81" i="21"/>
  <c r="BU78" i="21"/>
  <c r="BU84" i="21"/>
  <c r="BU71" i="21"/>
  <c r="BU68" i="21"/>
  <c r="BU73" i="21"/>
  <c r="BU79" i="21"/>
  <c r="BT67" i="21"/>
  <c r="BT82" i="21"/>
  <c r="BT74" i="21"/>
  <c r="BT79" i="21"/>
  <c r="BT71" i="21"/>
  <c r="BT66" i="21"/>
  <c r="BT80" i="21"/>
  <c r="BT72" i="21"/>
  <c r="BT85" i="21"/>
  <c r="BT77" i="21"/>
  <c r="BT69" i="21"/>
  <c r="BT78" i="21"/>
  <c r="BT70" i="21"/>
  <c r="BT83" i="21"/>
  <c r="BT75" i="21"/>
  <c r="BT84" i="21"/>
  <c r="BT76" i="21"/>
  <c r="BT68" i="21"/>
  <c r="BT81" i="21"/>
  <c r="BT73" i="21"/>
  <c r="BS72" i="21"/>
  <c r="BS85" i="21"/>
  <c r="BS73" i="21"/>
  <c r="BS67" i="21"/>
  <c r="BS77" i="21"/>
  <c r="BS75" i="21"/>
  <c r="BS79" i="21"/>
  <c r="BS83" i="21"/>
  <c r="BS71" i="21"/>
  <c r="BS84" i="21"/>
  <c r="BS82" i="21"/>
  <c r="BS66" i="21"/>
  <c r="BS80" i="21"/>
  <c r="BS76" i="21"/>
  <c r="BS74" i="21"/>
  <c r="BS78" i="21"/>
  <c r="BS70" i="21"/>
  <c r="BS69" i="21"/>
  <c r="BS68" i="21"/>
  <c r="BS81" i="21"/>
  <c r="BP71" i="21"/>
  <c r="BP67" i="21"/>
  <c r="BP69" i="21"/>
  <c r="BP81" i="21"/>
  <c r="BP84" i="21"/>
  <c r="BP70" i="21"/>
  <c r="BP68" i="21"/>
  <c r="BP83" i="21"/>
  <c r="BP78" i="21"/>
  <c r="BP80" i="21"/>
  <c r="BP66" i="21"/>
  <c r="BP77" i="21"/>
  <c r="BP73" i="21"/>
  <c r="BP85" i="21"/>
  <c r="BP72" i="21"/>
  <c r="BP79" i="21"/>
  <c r="BP75" i="21"/>
  <c r="BP74" i="21"/>
  <c r="BP76" i="21"/>
  <c r="BP82" i="21"/>
  <c r="BN69" i="21"/>
  <c r="BN84" i="21"/>
  <c r="BN79" i="21"/>
  <c r="BN66" i="21"/>
  <c r="BN70" i="21"/>
  <c r="BN80" i="21"/>
  <c r="BN68" i="21"/>
  <c r="BN77" i="21"/>
  <c r="BN72" i="21"/>
  <c r="BN83" i="21"/>
  <c r="BN67" i="21"/>
  <c r="BN76" i="21"/>
  <c r="BN82" i="21"/>
  <c r="BN81" i="21"/>
  <c r="BN71" i="21"/>
  <c r="BN78" i="21"/>
  <c r="BN75" i="21"/>
  <c r="BN74" i="21"/>
  <c r="BN73" i="21"/>
  <c r="BN85" i="21"/>
  <c r="BL67" i="21"/>
  <c r="BL76" i="21"/>
  <c r="BL66" i="21"/>
  <c r="BL71" i="21"/>
  <c r="BL70" i="21"/>
  <c r="BL81" i="21"/>
  <c r="BL80" i="21"/>
  <c r="BL75" i="21"/>
  <c r="BL83" i="21"/>
  <c r="BL77" i="21"/>
  <c r="BL74" i="21"/>
  <c r="BL85" i="21"/>
  <c r="BL69" i="21"/>
  <c r="BL84" i="21"/>
  <c r="BL68" i="21"/>
  <c r="BL79" i="21"/>
  <c r="BL82" i="21"/>
  <c r="BL78" i="21"/>
  <c r="BL73" i="21"/>
  <c r="BL72" i="21"/>
  <c r="BH67" i="21"/>
  <c r="BH85" i="21"/>
  <c r="BH72" i="21"/>
  <c r="BH79" i="21"/>
  <c r="BH69" i="21"/>
  <c r="BH70" i="21"/>
  <c r="BH76" i="21"/>
  <c r="BH81" i="21"/>
  <c r="BH73" i="21"/>
  <c r="BH74" i="21"/>
  <c r="BH82" i="21"/>
  <c r="BH84" i="21"/>
  <c r="BH68" i="21"/>
  <c r="BH80" i="21"/>
  <c r="BH66" i="21"/>
  <c r="BH77" i="21"/>
  <c r="BH78" i="21"/>
  <c r="BH71" i="21"/>
  <c r="BH75" i="21"/>
  <c r="BH83" i="21"/>
  <c r="BF70" i="21"/>
  <c r="BF73" i="21"/>
  <c r="BF68" i="21"/>
  <c r="BF66" i="21"/>
  <c r="BF67" i="21"/>
  <c r="BF78" i="21"/>
  <c r="BF84" i="21"/>
  <c r="BF75" i="21"/>
  <c r="BF83" i="21"/>
  <c r="BF76" i="21"/>
  <c r="BF77" i="21"/>
  <c r="BF71" i="21"/>
  <c r="BF81" i="21"/>
  <c r="BF72" i="21"/>
  <c r="BF80" i="21"/>
  <c r="BF82" i="21"/>
  <c r="BF69" i="21"/>
  <c r="BF79" i="21"/>
  <c r="BF74" i="21"/>
  <c r="BF85" i="21"/>
  <c r="V71" i="21"/>
  <c r="V66" i="22"/>
  <c r="L66" i="22" s="1"/>
  <c r="AE84" i="21"/>
  <c r="BC68" i="21"/>
  <c r="BC76" i="21"/>
  <c r="BC69" i="21"/>
  <c r="BC78" i="21"/>
  <c r="BC77" i="21"/>
  <c r="BC67" i="21"/>
  <c r="BC70" i="21"/>
  <c r="BC84" i="21"/>
  <c r="BC83" i="21"/>
  <c r="BC72" i="21"/>
  <c r="BC81" i="21"/>
  <c r="BC82" i="21"/>
  <c r="BC85" i="21"/>
  <c r="BC71" i="21"/>
  <c r="BC80" i="21"/>
  <c r="BC73" i="21"/>
  <c r="BC66" i="21"/>
  <c r="BC79" i="21"/>
  <c r="BC74" i="21"/>
  <c r="BC75" i="21"/>
  <c r="AE69" i="22"/>
  <c r="AP71" i="22"/>
  <c r="L71" i="22" s="1"/>
  <c r="AO71" i="22"/>
  <c r="BG85" i="22"/>
  <c r="BG68" i="22"/>
  <c r="BG71" i="22"/>
  <c r="BG79" i="22"/>
  <c r="BG67" i="22"/>
  <c r="BG66" i="22"/>
  <c r="BG69" i="22"/>
  <c r="BG82" i="22"/>
  <c r="BG78" i="22"/>
  <c r="BG75" i="22"/>
  <c r="BG76" i="22"/>
  <c r="BG70" i="22"/>
  <c r="BG73" i="22"/>
  <c r="BG80" i="22"/>
  <c r="BG84" i="22"/>
  <c r="BG74" i="22"/>
  <c r="BG81" i="22"/>
  <c r="BG83" i="22"/>
  <c r="BG72" i="22"/>
  <c r="BG77" i="22"/>
  <c r="BF82" i="22"/>
  <c r="BF68" i="22"/>
  <c r="BF73" i="22"/>
  <c r="BF84" i="22"/>
  <c r="BF75" i="22"/>
  <c r="BF66" i="22"/>
  <c r="BF67" i="22"/>
  <c r="BF81" i="22"/>
  <c r="BF76" i="22"/>
  <c r="BF69" i="22"/>
  <c r="BF80" i="22"/>
  <c r="BF85" i="22"/>
  <c r="BF83" i="22"/>
  <c r="BF71" i="22"/>
  <c r="BF70" i="22"/>
  <c r="BF74" i="22"/>
  <c r="BF79" i="22"/>
  <c r="BF77" i="22"/>
  <c r="BF78" i="22"/>
  <c r="BF72" i="22"/>
  <c r="AP70" i="22"/>
  <c r="L70" i="22" s="1"/>
  <c r="AO70" i="22"/>
  <c r="AP69" i="22"/>
  <c r="L69" i="22" s="1"/>
  <c r="AO69" i="22"/>
  <c r="BE79" i="22"/>
  <c r="BE81" i="22"/>
  <c r="BE68" i="22"/>
  <c r="BE78" i="22"/>
  <c r="BE80" i="22"/>
  <c r="BE66" i="22"/>
  <c r="BE70" i="22"/>
  <c r="BE67" i="22"/>
  <c r="BE73" i="22"/>
  <c r="BE72" i="22"/>
  <c r="BE71" i="22"/>
  <c r="BE84" i="22"/>
  <c r="BE69" i="22"/>
  <c r="BE85" i="22"/>
  <c r="BE76" i="22"/>
  <c r="BE83" i="22"/>
  <c r="BE74" i="22"/>
  <c r="BE77" i="22"/>
  <c r="BE75" i="22"/>
  <c r="BE82" i="22"/>
  <c r="AE68" i="22"/>
  <c r="AP68" i="22"/>
  <c r="L68" i="22" s="1"/>
  <c r="AO68" i="22"/>
  <c r="BD84" i="22"/>
  <c r="BD77" i="22"/>
  <c r="BD68" i="22"/>
  <c r="BD83" i="22"/>
  <c r="BD66" i="22"/>
  <c r="BD70" i="22"/>
  <c r="BD78" i="22"/>
  <c r="BD69" i="22"/>
  <c r="BD67" i="22"/>
  <c r="BD75" i="22"/>
  <c r="BD79" i="22"/>
  <c r="BD73" i="22"/>
  <c r="BD76" i="22"/>
  <c r="BD82" i="22"/>
  <c r="BD81" i="22"/>
  <c r="BD72" i="22"/>
  <c r="BD85" i="22"/>
  <c r="BD74" i="22"/>
  <c r="BD71" i="22"/>
  <c r="BD80" i="22"/>
  <c r="BC81" i="22"/>
  <c r="BC80" i="22"/>
  <c r="BC74" i="22"/>
  <c r="BC75" i="22"/>
  <c r="BC66" i="22"/>
  <c r="BC72" i="22"/>
  <c r="BC83" i="22"/>
  <c r="BC67" i="22"/>
  <c r="BC69" i="22"/>
  <c r="BC73" i="22"/>
  <c r="BC71" i="22"/>
  <c r="BC70" i="22"/>
  <c r="BC79" i="22"/>
  <c r="BC68" i="22"/>
  <c r="BC77" i="22"/>
  <c r="BC84" i="22"/>
  <c r="BC82" i="22"/>
  <c r="BC78" i="22"/>
  <c r="BC85" i="22"/>
  <c r="BC76" i="22"/>
  <c r="AP67" i="22"/>
  <c r="AO67" i="22"/>
  <c r="BB78" i="22"/>
  <c r="BB67" i="22"/>
  <c r="BB66" i="22"/>
  <c r="BB79" i="22"/>
  <c r="BB74" i="22"/>
  <c r="BB82" i="22"/>
  <c r="BB73" i="22"/>
  <c r="BB81" i="22"/>
  <c r="BB69" i="22"/>
  <c r="BB72" i="22"/>
  <c r="BB76" i="22"/>
  <c r="BB83" i="22"/>
  <c r="BB80" i="22"/>
  <c r="BB84" i="22"/>
  <c r="BB70" i="22"/>
  <c r="BB71" i="22"/>
  <c r="BB75" i="22"/>
  <c r="BB77" i="22"/>
  <c r="BB85" i="22"/>
  <c r="BB68" i="22"/>
  <c r="AO66" i="22"/>
  <c r="AP66" i="22"/>
  <c r="BB70" i="21"/>
  <c r="BB78" i="21"/>
  <c r="BB71" i="21"/>
  <c r="BB79" i="21"/>
  <c r="BB77" i="21"/>
  <c r="BB72" i="21"/>
  <c r="BB80" i="21"/>
  <c r="BB73" i="21"/>
  <c r="BB81" i="21"/>
  <c r="BB74" i="21"/>
  <c r="BB82" i="21"/>
  <c r="BB76" i="21"/>
  <c r="BB66" i="21"/>
  <c r="BB85" i="21"/>
  <c r="BB67" i="21"/>
  <c r="BB75" i="21"/>
  <c r="BB83" i="21"/>
  <c r="BB68" i="21"/>
  <c r="BB84" i="21"/>
  <c r="BB69" i="21"/>
  <c r="AO71" i="21"/>
  <c r="AP71" i="21"/>
  <c r="AO79" i="21"/>
  <c r="AP79" i="21"/>
  <c r="L79" i="21" s="1"/>
  <c r="M79" i="21" s="1"/>
  <c r="AO72" i="21"/>
  <c r="AP72" i="21"/>
  <c r="AO80" i="21"/>
  <c r="AP80" i="21"/>
  <c r="AP73" i="21"/>
  <c r="AO73" i="21"/>
  <c r="AP81" i="21"/>
  <c r="AO81" i="21"/>
  <c r="AO74" i="21"/>
  <c r="AP74" i="21"/>
  <c r="AP82" i="21"/>
  <c r="AO82" i="21"/>
  <c r="AO67" i="21"/>
  <c r="AP67" i="21"/>
  <c r="AO75" i="21"/>
  <c r="AP75" i="21"/>
  <c r="AO83" i="21"/>
  <c r="AP83" i="21"/>
  <c r="AO68" i="21"/>
  <c r="AP68" i="21"/>
  <c r="AO76" i="21"/>
  <c r="AP76" i="21"/>
  <c r="AO84" i="21"/>
  <c r="AP84" i="21"/>
  <c r="AP69" i="21"/>
  <c r="AO69" i="21"/>
  <c r="AP77" i="21"/>
  <c r="AO77" i="21"/>
  <c r="AO70" i="21"/>
  <c r="AP70" i="21"/>
  <c r="AO78" i="21"/>
  <c r="AP78" i="21"/>
  <c r="AO85" i="21"/>
  <c r="AP85" i="21"/>
  <c r="AP66" i="21"/>
  <c r="L66" i="21" s="1"/>
  <c r="M66" i="21" s="1"/>
  <c r="AO66" i="21"/>
  <c r="L59" i="22"/>
  <c r="P3" i="22" s="1"/>
  <c r="P1" i="21" l="1"/>
  <c r="F104" i="21"/>
  <c r="F109" i="21"/>
  <c r="P1" i="22"/>
  <c r="G104" i="22"/>
  <c r="M82" i="21"/>
  <c r="M73" i="21"/>
  <c r="M69" i="21"/>
  <c r="G103" i="21"/>
  <c r="AD85" i="21"/>
  <c r="AE85" i="21" s="1"/>
  <c r="AD83" i="21"/>
  <c r="AE83" i="21" s="1"/>
  <c r="AD82" i="21"/>
  <c r="AE82" i="21" s="1"/>
  <c r="AD81" i="21"/>
  <c r="AE81" i="21" s="1"/>
  <c r="L80" i="21"/>
  <c r="M80" i="21" s="1"/>
  <c r="L77" i="21"/>
  <c r="AD78" i="21"/>
  <c r="AD77" i="21"/>
  <c r="AE77" i="21" s="1"/>
  <c r="L76" i="21"/>
  <c r="AD76" i="21"/>
  <c r="AE76" i="21" s="1"/>
  <c r="AD74" i="21"/>
  <c r="AE74" i="21" s="1"/>
  <c r="L75" i="21"/>
  <c r="M75" i="21" s="1"/>
  <c r="AE68" i="21"/>
  <c r="L68" i="21"/>
  <c r="M68" i="21" s="1"/>
  <c r="AD69" i="21"/>
  <c r="AE69" i="21" s="1"/>
  <c r="L71" i="21"/>
  <c r="M71" i="21" s="1"/>
  <c r="AD71" i="21"/>
  <c r="AE71" i="21" s="1"/>
  <c r="AD72" i="21"/>
  <c r="AE72" i="21" s="1"/>
  <c r="AD73" i="21"/>
  <c r="AE73" i="21" s="1"/>
  <c r="AD70" i="21"/>
  <c r="AE70" i="21" s="1"/>
  <c r="G109" i="21"/>
  <c r="H109" i="21" s="1"/>
  <c r="I109" i="21" s="1"/>
  <c r="J109" i="21" s="1"/>
  <c r="L67" i="21"/>
  <c r="M67" i="21" s="1"/>
  <c r="AD67" i="21"/>
  <c r="F103" i="21"/>
  <c r="F110" i="21"/>
  <c r="C37" i="11"/>
  <c r="AD66" i="22"/>
  <c r="AE66" i="22" s="1"/>
  <c r="N31" i="21"/>
  <c r="P2" i="21" s="1"/>
  <c r="H106" i="21"/>
  <c r="BL64" i="22"/>
  <c r="BX76" i="22" s="1"/>
  <c r="BV76" i="22" s="1"/>
  <c r="O33" i="22"/>
  <c r="AE67" i="22"/>
  <c r="BN64" i="22"/>
  <c r="BX78" i="22" s="1"/>
  <c r="BV78" i="22" s="1"/>
  <c r="BK64" i="22"/>
  <c r="BX75" i="22" s="1"/>
  <c r="BV75" i="22" s="1"/>
  <c r="BJ64" i="22"/>
  <c r="BX74" i="22" s="1"/>
  <c r="BV74" i="22" s="1"/>
  <c r="BM64" i="22"/>
  <c r="BX77" i="22" s="1"/>
  <c r="BV77" i="22" s="1"/>
  <c r="BT64" i="22"/>
  <c r="BX84" i="22" s="1"/>
  <c r="BV84" i="22" s="1"/>
  <c r="BO64" i="22"/>
  <c r="BX79" i="22" s="1"/>
  <c r="BV79" i="22" s="1"/>
  <c r="BR64" i="22"/>
  <c r="BX82" i="22" s="1"/>
  <c r="BV82" i="22" s="1"/>
  <c r="BQ64" i="22"/>
  <c r="BX81" i="22" s="1"/>
  <c r="BV81" i="22" s="1"/>
  <c r="BP64" i="22"/>
  <c r="BX80" i="22" s="1"/>
  <c r="BV80" i="22" s="1"/>
  <c r="BH64" i="22"/>
  <c r="BX72" i="22" s="1"/>
  <c r="BV72" i="22" s="1"/>
  <c r="BS64" i="22"/>
  <c r="BX83" i="22" s="1"/>
  <c r="BV83" i="22" s="1"/>
  <c r="BU64" i="22"/>
  <c r="BX85" i="22" s="1"/>
  <c r="BV85" i="22" s="1"/>
  <c r="BI64" i="22"/>
  <c r="BX73" i="22" s="1"/>
  <c r="BV73" i="22" s="1"/>
  <c r="O33" i="21"/>
  <c r="BU64" i="21"/>
  <c r="BX85" i="21" s="1"/>
  <c r="BV85" i="21" s="1"/>
  <c r="BT64" i="21"/>
  <c r="BX84" i="21" s="1"/>
  <c r="BV84" i="21" s="1"/>
  <c r="BB64" i="22"/>
  <c r="BX66" i="22" s="1"/>
  <c r="BV66" i="22" s="1"/>
  <c r="BD64" i="22"/>
  <c r="BX68" i="22" s="1"/>
  <c r="BV68" i="22" s="1"/>
  <c r="BB64" i="21"/>
  <c r="BX66" i="21" s="1"/>
  <c r="BV66" i="21" s="1"/>
  <c r="BF64" i="22"/>
  <c r="BX70" i="22" s="1"/>
  <c r="BV70" i="22" s="1"/>
  <c r="BG64" i="22"/>
  <c r="BX71" i="22" s="1"/>
  <c r="BV71" i="22" s="1"/>
  <c r="BE64" i="22"/>
  <c r="BX69" i="22" s="1"/>
  <c r="BV69" i="22" s="1"/>
  <c r="BC64" i="22"/>
  <c r="BX67" i="22" s="1"/>
  <c r="BV67" i="22" s="1"/>
  <c r="BM64" i="21"/>
  <c r="BX77" i="21" s="1"/>
  <c r="BV77" i="21" s="1"/>
  <c r="BD64" i="21"/>
  <c r="BX68" i="21" s="1"/>
  <c r="BV68" i="21" s="1"/>
  <c r="BF64" i="21"/>
  <c r="BX70" i="21" s="1"/>
  <c r="BV70" i="21" s="1"/>
  <c r="BJ64" i="21"/>
  <c r="BX74" i="21" s="1"/>
  <c r="BV74" i="21" s="1"/>
  <c r="BN64" i="21"/>
  <c r="BX78" i="21" s="1"/>
  <c r="BV78" i="21" s="1"/>
  <c r="BO64" i="21"/>
  <c r="BX79" i="21" s="1"/>
  <c r="BV79" i="21" s="1"/>
  <c r="BR64" i="21"/>
  <c r="BX82" i="21" s="1"/>
  <c r="BV82" i="21" s="1"/>
  <c r="BS64" i="21"/>
  <c r="BX83" i="21" s="1"/>
  <c r="BV83" i="21" s="1"/>
  <c r="BQ64" i="21"/>
  <c r="BX81" i="21" s="1"/>
  <c r="BV81" i="21" s="1"/>
  <c r="BP64" i="21"/>
  <c r="BX80" i="21" s="1"/>
  <c r="BV80" i="21" s="1"/>
  <c r="BL64" i="21"/>
  <c r="BX76" i="21" s="1"/>
  <c r="BV76" i="21" s="1"/>
  <c r="BK64" i="21"/>
  <c r="BX75" i="21" s="1"/>
  <c r="BV75" i="21" s="1"/>
  <c r="BI64" i="21"/>
  <c r="BX73" i="21" s="1"/>
  <c r="BV73" i="21" s="1"/>
  <c r="BH64" i="21"/>
  <c r="BX72" i="21" s="1"/>
  <c r="BV72" i="21" s="1"/>
  <c r="BG64" i="21"/>
  <c r="BX71" i="21" s="1"/>
  <c r="BV71" i="21" s="1"/>
  <c r="BE64" i="21"/>
  <c r="BX69" i="21" s="1"/>
  <c r="BV69" i="21" s="1"/>
  <c r="BC64" i="21"/>
  <c r="BX67" i="21" s="1"/>
  <c r="BV67" i="21" s="1"/>
  <c r="H103" i="22"/>
  <c r="L31" i="22"/>
  <c r="D13" i="11" s="1"/>
  <c r="N31" i="22"/>
  <c r="P2" i="22" s="1"/>
  <c r="M77" i="21" l="1"/>
  <c r="M72" i="21"/>
  <c r="M76" i="21"/>
  <c r="M85" i="21"/>
  <c r="M74" i="21"/>
  <c r="AE78" i="21"/>
  <c r="M78" i="21"/>
  <c r="M83" i="21"/>
  <c r="M81" i="21"/>
  <c r="M70" i="21"/>
  <c r="G104" i="21"/>
  <c r="H104" i="21" s="1"/>
  <c r="I104" i="21" s="1"/>
  <c r="J104" i="21" s="1"/>
  <c r="H103" i="21"/>
  <c r="G110" i="21"/>
  <c r="AE67" i="21"/>
  <c r="C38" i="11"/>
  <c r="G108" i="22"/>
  <c r="H108" i="22" s="1"/>
  <c r="G107" i="22"/>
  <c r="H107" i="22" s="1"/>
  <c r="AE66" i="21"/>
  <c r="H104" i="22"/>
  <c r="I104" i="22" s="1"/>
  <c r="J104" i="22" s="1"/>
  <c r="M86" i="22"/>
  <c r="L86" i="22"/>
  <c r="L86" i="21"/>
  <c r="P4" i="21" l="1"/>
  <c r="P5" i="21"/>
  <c r="P4" i="22"/>
  <c r="D17" i="11" s="1"/>
  <c r="P5" i="22"/>
  <c r="I107" i="22"/>
  <c r="J107" i="22" s="1"/>
  <c r="I108" i="22"/>
  <c r="J108" i="22" s="1"/>
  <c r="E97" i="22"/>
  <c r="J97" i="22" s="1"/>
  <c r="F109" i="22"/>
  <c r="I109" i="22" s="1"/>
  <c r="J109" i="22" s="1"/>
  <c r="D16" i="11"/>
  <c r="H110" i="21"/>
  <c r="I106" i="21"/>
  <c r="J106" i="21" s="1"/>
  <c r="M86" i="21"/>
  <c r="D38" i="11" l="1"/>
  <c r="D29" i="11"/>
  <c r="E21" i="11" s="1"/>
  <c r="J2" i="22"/>
  <c r="D37" i="11"/>
  <c r="D28" i="11"/>
  <c r="E20" i="11" s="1"/>
  <c r="F111" i="21"/>
  <c r="I111" i="21" s="1"/>
  <c r="J111" i="21" s="1"/>
  <c r="I110" i="21"/>
  <c r="J110" i="21" s="1"/>
  <c r="E97" i="21"/>
  <c r="D21" i="11"/>
  <c r="D25" i="11" s="1"/>
  <c r="E25" i="11" s="1"/>
  <c r="E98" i="22" l="1"/>
  <c r="J98" i="22" s="1"/>
  <c r="J97" i="21"/>
  <c r="D20" i="11"/>
  <c r="D24" i="11" s="1"/>
  <c r="E24" i="11" s="1"/>
  <c r="E98" i="21" l="1"/>
  <c r="J98" i="21" s="1"/>
  <c r="J2" i="21"/>
  <c r="AT88" i="1"/>
  <c r="AX88" i="1"/>
  <c r="E88" i="1" s="1"/>
  <c r="E51" i="1" l="1"/>
  <c r="E52" i="1"/>
  <c r="E53" i="1"/>
  <c r="E54" i="1"/>
  <c r="E55" i="1"/>
  <c r="E56" i="1"/>
  <c r="E57" i="1"/>
  <c r="E58" i="1"/>
  <c r="E59" i="1"/>
  <c r="G99" i="1" l="1"/>
  <c r="AG88" i="1"/>
  <c r="AH88" i="1" s="1"/>
  <c r="AN88" i="1"/>
  <c r="AP88" i="1" s="1"/>
  <c r="AR88" i="1"/>
  <c r="AU88" i="1"/>
  <c r="AV88" i="1" s="1"/>
  <c r="AI88" i="1"/>
  <c r="AJ88" i="1" s="1"/>
  <c r="AO88" i="1" l="1"/>
  <c r="AF44" i="1"/>
  <c r="AF45" i="1"/>
  <c r="AF46" i="1"/>
  <c r="AF47" i="1"/>
  <c r="AF48" i="1"/>
  <c r="AF49" i="1"/>
  <c r="AF50" i="1"/>
  <c r="AF51" i="1"/>
  <c r="AF52" i="1"/>
  <c r="AF53" i="1"/>
  <c r="AF54" i="1"/>
  <c r="AF55" i="1"/>
  <c r="AF56" i="1"/>
  <c r="AF57" i="1"/>
  <c r="AF58" i="1"/>
  <c r="AF59" i="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AB13" i="1"/>
  <c r="AB14" i="1"/>
  <c r="AB15" i="1"/>
  <c r="AB16" i="1"/>
  <c r="AB17" i="1"/>
  <c r="AB18" i="1"/>
  <c r="AB19" i="1"/>
  <c r="AB20" i="1"/>
  <c r="AB21" i="1"/>
  <c r="AB22" i="1"/>
  <c r="AB23" i="1"/>
  <c r="AB24" i="1"/>
  <c r="AB25" i="1"/>
  <c r="AB26" i="1"/>
  <c r="AB27" i="1"/>
  <c r="AB28" i="1"/>
  <c r="AB29" i="1"/>
  <c r="AB30" i="1"/>
  <c r="AI12" i="1" l="1"/>
  <c r="AI13" i="1"/>
  <c r="AI14" i="1"/>
  <c r="AI15" i="1"/>
  <c r="AI16" i="1"/>
  <c r="AI17" i="1"/>
  <c r="AI18" i="1"/>
  <c r="AI19" i="1"/>
  <c r="AI20" i="1"/>
  <c r="AI21" i="1"/>
  <c r="AI22" i="1"/>
  <c r="AI23" i="1"/>
  <c r="AI24" i="1"/>
  <c r="AI25" i="1"/>
  <c r="AI26" i="1"/>
  <c r="AI27" i="1"/>
  <c r="AI28" i="1"/>
  <c r="AI29" i="1"/>
  <c r="AI30" i="1"/>
  <c r="AI31" i="1"/>
  <c r="AI11" i="1"/>
  <c r="H99" i="1" l="1"/>
  <c r="U69" i="1" l="1"/>
  <c r="AX70" i="1"/>
  <c r="D99" i="1"/>
  <c r="E99" i="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W41" i="1"/>
  <c r="X41" i="1" s="1"/>
  <c r="AB41" i="1"/>
  <c r="AC41" i="1" s="1"/>
  <c r="W42" i="1"/>
  <c r="X42" i="1" s="1"/>
  <c r="AB42" i="1"/>
  <c r="W43" i="1"/>
  <c r="X43" i="1" s="1"/>
  <c r="AB43" i="1"/>
  <c r="AB44" i="1"/>
  <c r="AB45" i="1"/>
  <c r="AC45" i="1" s="1"/>
  <c r="AB46" i="1"/>
  <c r="AC46" i="1" s="1"/>
  <c r="AB47" i="1"/>
  <c r="AB48" i="1"/>
  <c r="AC48" i="1" s="1"/>
  <c r="AB49" i="1"/>
  <c r="AC49" i="1" s="1"/>
  <c r="AB50" i="1"/>
  <c r="AC50" i="1" s="1"/>
  <c r="AB51" i="1"/>
  <c r="AB52" i="1"/>
  <c r="AC52" i="1" s="1"/>
  <c r="AB53" i="1"/>
  <c r="AC53" i="1" s="1"/>
  <c r="AB54" i="1"/>
  <c r="AB55" i="1"/>
  <c r="AB56" i="1"/>
  <c r="AC56" i="1" s="1"/>
  <c r="AB57" i="1"/>
  <c r="AC57" i="1" s="1"/>
  <c r="AB58" i="1"/>
  <c r="AC58" i="1" s="1"/>
  <c r="AB59" i="1"/>
  <c r="T60" i="1"/>
  <c r="W60" i="1"/>
  <c r="X60" i="1" s="1"/>
  <c r="AB60" i="1"/>
  <c r="AC60" i="1" s="1"/>
  <c r="AG40" i="1"/>
  <c r="AH40" i="1" s="1"/>
  <c r="W40" i="1"/>
  <c r="X40" i="1" s="1"/>
  <c r="T40" i="1"/>
  <c r="AB40" i="1"/>
  <c r="AG21" i="1"/>
  <c r="AG22" i="1"/>
  <c r="AG23" i="1"/>
  <c r="AG24" i="1"/>
  <c r="AG25" i="1"/>
  <c r="AG26" i="1"/>
  <c r="AG27" i="1"/>
  <c r="AG28" i="1"/>
  <c r="AG29" i="1"/>
  <c r="AG30" i="1"/>
  <c r="V60" i="1" l="1"/>
  <c r="AD59" i="1"/>
  <c r="L59" i="1" s="1"/>
  <c r="AC59" i="1"/>
  <c r="AD51" i="1"/>
  <c r="AC51" i="1"/>
  <c r="AD43" i="1"/>
  <c r="AC43" i="1"/>
  <c r="AD44" i="1"/>
  <c r="AC44" i="1"/>
  <c r="AD55" i="1"/>
  <c r="AC55" i="1"/>
  <c r="AD47" i="1"/>
  <c r="AC47" i="1"/>
  <c r="AD54" i="1"/>
  <c r="AC54" i="1"/>
  <c r="AX69" i="1"/>
  <c r="AS69" i="1"/>
  <c r="AT69" i="1" s="1"/>
  <c r="AQ69" i="1"/>
  <c r="AR69" i="1" s="1"/>
  <c r="C68" i="1"/>
  <c r="AQ68" i="1"/>
  <c r="AR68" i="1" s="1"/>
  <c r="AS68" i="1"/>
  <c r="AT68" i="1" s="1"/>
  <c r="AD40" i="1"/>
  <c r="AC40" i="1"/>
  <c r="AD42" i="1"/>
  <c r="AC42" i="1"/>
  <c r="AX68" i="1"/>
  <c r="AW68" i="1"/>
  <c r="AT80" i="1"/>
  <c r="AU80" i="1"/>
  <c r="AV80" i="1" s="1"/>
  <c r="AW80" i="1"/>
  <c r="AG80" i="1"/>
  <c r="AH80" i="1" s="1"/>
  <c r="AR80" i="1"/>
  <c r="AT72" i="1"/>
  <c r="AU72" i="1"/>
  <c r="AV72" i="1" s="1"/>
  <c r="AW72" i="1"/>
  <c r="E72" i="1"/>
  <c r="AG72" i="1"/>
  <c r="AH72" i="1" s="1"/>
  <c r="AR72" i="1"/>
  <c r="AR86" i="1"/>
  <c r="AW86" i="1"/>
  <c r="AT86" i="1"/>
  <c r="E86" i="1"/>
  <c r="AU86" i="1"/>
  <c r="AV86" i="1" s="1"/>
  <c r="AG86" i="1"/>
  <c r="AH86" i="1" s="1"/>
  <c r="AR78" i="1"/>
  <c r="AW78" i="1"/>
  <c r="AT78" i="1"/>
  <c r="E78" i="1"/>
  <c r="AU78" i="1"/>
  <c r="AV78" i="1" s="1"/>
  <c r="AG78" i="1"/>
  <c r="AH78" i="1" s="1"/>
  <c r="AR70" i="1"/>
  <c r="AW70" i="1"/>
  <c r="AT70" i="1"/>
  <c r="E70" i="1"/>
  <c r="AU70" i="1"/>
  <c r="AV70" i="1" s="1"/>
  <c r="AG70" i="1"/>
  <c r="AH70" i="1" s="1"/>
  <c r="AW71" i="1"/>
  <c r="AU71" i="1"/>
  <c r="AV71" i="1" s="1"/>
  <c r="E71" i="1"/>
  <c r="AR71" i="1"/>
  <c r="AG71" i="1"/>
  <c r="AT71" i="1"/>
  <c r="AU85" i="1"/>
  <c r="AV85" i="1" s="1"/>
  <c r="AW85" i="1"/>
  <c r="AG85" i="1"/>
  <c r="AH85" i="1" s="1"/>
  <c r="AR85" i="1"/>
  <c r="AT85" i="1"/>
  <c r="AU77" i="1"/>
  <c r="AV77" i="1" s="1"/>
  <c r="AW77" i="1"/>
  <c r="E77" i="1"/>
  <c r="AG77" i="1"/>
  <c r="AR77" i="1"/>
  <c r="AT77" i="1"/>
  <c r="AU69" i="1"/>
  <c r="AV69" i="1" s="1"/>
  <c r="AW69" i="1"/>
  <c r="AG69" i="1"/>
  <c r="AH69" i="1" s="1"/>
  <c r="AU87" i="1"/>
  <c r="AV87" i="1" s="1"/>
  <c r="AW87" i="1"/>
  <c r="E87" i="1"/>
  <c r="AR87" i="1"/>
  <c r="AG87" i="1"/>
  <c r="AH87" i="1" s="1"/>
  <c r="AT87" i="1"/>
  <c r="E84" i="1"/>
  <c r="AG84" i="1"/>
  <c r="AH84" i="1" s="1"/>
  <c r="AR84" i="1"/>
  <c r="AT84" i="1"/>
  <c r="AU84" i="1"/>
  <c r="AV84" i="1" s="1"/>
  <c r="AW84" i="1"/>
  <c r="AG76" i="1"/>
  <c r="AH76" i="1" s="1"/>
  <c r="AR76" i="1"/>
  <c r="AT76" i="1"/>
  <c r="AU76" i="1"/>
  <c r="AV76" i="1" s="1"/>
  <c r="AW76" i="1"/>
  <c r="E83" i="1"/>
  <c r="AR83" i="1"/>
  <c r="AG83" i="1"/>
  <c r="AH83" i="1" s="1"/>
  <c r="AT83" i="1"/>
  <c r="AU83" i="1"/>
  <c r="AV83" i="1" s="1"/>
  <c r="AW83" i="1"/>
  <c r="E75" i="1"/>
  <c r="AR75" i="1"/>
  <c r="AG75" i="1"/>
  <c r="AH75" i="1" s="1"/>
  <c r="AT75" i="1"/>
  <c r="AU75" i="1"/>
  <c r="AV75" i="1" s="1"/>
  <c r="AW75" i="1"/>
  <c r="AU79" i="1"/>
  <c r="AV79" i="1" s="1"/>
  <c r="AW79" i="1"/>
  <c r="E79" i="1"/>
  <c r="AR79" i="1"/>
  <c r="AG79" i="1"/>
  <c r="AH79" i="1" s="1"/>
  <c r="AT79" i="1"/>
  <c r="AR82" i="1"/>
  <c r="AW82" i="1"/>
  <c r="E82" i="1"/>
  <c r="AU82" i="1"/>
  <c r="AV82" i="1" s="1"/>
  <c r="AG82" i="1"/>
  <c r="AH82" i="1" s="1"/>
  <c r="AT82" i="1"/>
  <c r="AT74" i="1"/>
  <c r="AR74" i="1"/>
  <c r="AW74" i="1"/>
  <c r="E74" i="1"/>
  <c r="AU74" i="1"/>
  <c r="AV74" i="1" s="1"/>
  <c r="AG74" i="1"/>
  <c r="AH74" i="1" s="1"/>
  <c r="E81" i="1"/>
  <c r="AG81" i="1"/>
  <c r="AH81" i="1" s="1"/>
  <c r="AR81" i="1"/>
  <c r="AT81" i="1"/>
  <c r="AU81" i="1"/>
  <c r="AV81" i="1" s="1"/>
  <c r="AW81" i="1"/>
  <c r="AR73" i="1"/>
  <c r="AT73" i="1"/>
  <c r="E73" i="1"/>
  <c r="AU73" i="1"/>
  <c r="AV73" i="1" s="1"/>
  <c r="AW73" i="1"/>
  <c r="AG73" i="1"/>
  <c r="AH73" i="1" s="1"/>
  <c r="T83" i="1"/>
  <c r="T75" i="1"/>
  <c r="T76" i="1"/>
  <c r="T81" i="1"/>
  <c r="T73" i="1"/>
  <c r="T84" i="1"/>
  <c r="T82" i="1"/>
  <c r="T80" i="1"/>
  <c r="T72" i="1"/>
  <c r="T87" i="1"/>
  <c r="T79" i="1"/>
  <c r="T71" i="1"/>
  <c r="T86" i="1"/>
  <c r="T78" i="1"/>
  <c r="T70" i="1"/>
  <c r="T74" i="1"/>
  <c r="T85" i="1"/>
  <c r="T77" i="1"/>
  <c r="T69" i="1"/>
  <c r="T68" i="1"/>
  <c r="E80" i="1"/>
  <c r="E85" i="1"/>
  <c r="AB83" i="1"/>
  <c r="H83" i="1" s="1"/>
  <c r="AN83" i="1" s="1"/>
  <c r="C77" i="1"/>
  <c r="C76" i="1"/>
  <c r="AD60" i="1"/>
  <c r="AD52" i="1"/>
  <c r="L52" i="1" s="1"/>
  <c r="AD56" i="1"/>
  <c r="AD58" i="1"/>
  <c r="AD46" i="1"/>
  <c r="AD50" i="1"/>
  <c r="L50" i="1" s="1"/>
  <c r="V40" i="1"/>
  <c r="AD48" i="1"/>
  <c r="AI74" i="1"/>
  <c r="AJ74" i="1" s="1"/>
  <c r="C72" i="1"/>
  <c r="AU68" i="1"/>
  <c r="AV68" i="1" s="1"/>
  <c r="C69" i="1"/>
  <c r="AB82" i="1"/>
  <c r="H82" i="1" s="1"/>
  <c r="AN82" i="1" s="1"/>
  <c r="AI68" i="1"/>
  <c r="AJ68" i="1" s="1"/>
  <c r="AF80" i="1"/>
  <c r="AF72" i="1"/>
  <c r="AI82" i="1"/>
  <c r="AJ82" i="1" s="1"/>
  <c r="AB81" i="1"/>
  <c r="H81" i="1" s="1"/>
  <c r="AN81" i="1" s="1"/>
  <c r="AF68" i="1"/>
  <c r="AI75" i="1"/>
  <c r="AJ75" i="1" s="1"/>
  <c r="I89" i="1"/>
  <c r="AG68" i="1"/>
  <c r="C86" i="1"/>
  <c r="C78" i="1"/>
  <c r="AI81" i="1"/>
  <c r="AJ81" i="1" s="1"/>
  <c r="AI73" i="1"/>
  <c r="AJ73" i="1" s="1"/>
  <c r="C85" i="1"/>
  <c r="C75" i="1"/>
  <c r="AB80" i="1"/>
  <c r="H80" i="1" s="1"/>
  <c r="AN80" i="1" s="1"/>
  <c r="AF87" i="1"/>
  <c r="AF79" i="1"/>
  <c r="AF71" i="1"/>
  <c r="AI80" i="1"/>
  <c r="AJ80" i="1" s="1"/>
  <c r="AI72" i="1"/>
  <c r="AJ72" i="1" s="1"/>
  <c r="C84" i="1"/>
  <c r="C74" i="1"/>
  <c r="AB87" i="1"/>
  <c r="H87" i="1" s="1"/>
  <c r="AN87" i="1" s="1"/>
  <c r="AB79" i="1"/>
  <c r="H79" i="1" s="1"/>
  <c r="AN79" i="1" s="1"/>
  <c r="AF86" i="1"/>
  <c r="AF78" i="1"/>
  <c r="AF70" i="1"/>
  <c r="AI87" i="1"/>
  <c r="AJ87" i="1" s="1"/>
  <c r="AI79" i="1"/>
  <c r="AJ79" i="1" s="1"/>
  <c r="AI71" i="1"/>
  <c r="AJ71" i="1" s="1"/>
  <c r="C83" i="1"/>
  <c r="C73" i="1"/>
  <c r="AB86" i="1"/>
  <c r="H86" i="1" s="1"/>
  <c r="AN86" i="1" s="1"/>
  <c r="AB78" i="1"/>
  <c r="H78" i="1" s="1"/>
  <c r="AN78" i="1" s="1"/>
  <c r="AF85" i="1"/>
  <c r="AF77" i="1"/>
  <c r="AF69" i="1"/>
  <c r="AI83" i="1"/>
  <c r="AJ83" i="1" s="1"/>
  <c r="AB85" i="1"/>
  <c r="H85" i="1" s="1"/>
  <c r="AN85" i="1" s="1"/>
  <c r="AF84" i="1"/>
  <c r="AF76" i="1"/>
  <c r="AI77" i="1"/>
  <c r="AJ77" i="1" s="1"/>
  <c r="AI85" i="1"/>
  <c r="AJ85" i="1" s="1"/>
  <c r="AI69" i="1"/>
  <c r="AJ69" i="1" s="1"/>
  <c r="C81" i="1"/>
  <c r="C71" i="1"/>
  <c r="AB84" i="1"/>
  <c r="H84" i="1" s="1"/>
  <c r="AN84" i="1" s="1"/>
  <c r="AF83" i="1"/>
  <c r="AF75" i="1"/>
  <c r="AI86" i="1"/>
  <c r="AJ86" i="1" s="1"/>
  <c r="AI78" i="1"/>
  <c r="AJ78" i="1" s="1"/>
  <c r="AI70" i="1"/>
  <c r="AJ70" i="1" s="1"/>
  <c r="C82" i="1"/>
  <c r="AI84" i="1"/>
  <c r="AJ84" i="1" s="1"/>
  <c r="AI76" i="1"/>
  <c r="AJ76" i="1" s="1"/>
  <c r="C80" i="1"/>
  <c r="C70" i="1"/>
  <c r="AF82" i="1"/>
  <c r="AF74" i="1"/>
  <c r="C87" i="1"/>
  <c r="C79" i="1"/>
  <c r="AF81" i="1"/>
  <c r="AF73" i="1"/>
  <c r="AD57" i="1"/>
  <c r="AD53" i="1"/>
  <c r="AD49" i="1"/>
  <c r="AD45" i="1"/>
  <c r="AD41" i="1"/>
  <c r="E69" i="1" l="1"/>
  <c r="G134" i="1"/>
  <c r="H134" i="1" s="1"/>
  <c r="G132" i="1"/>
  <c r="G133" i="1"/>
  <c r="G127" i="1"/>
  <c r="E68" i="1"/>
  <c r="E76" i="1"/>
  <c r="BF69" i="1"/>
  <c r="BF77" i="1"/>
  <c r="BF85" i="1"/>
  <c r="BF74" i="1"/>
  <c r="BF75" i="1"/>
  <c r="BF70" i="1"/>
  <c r="BF78" i="1"/>
  <c r="BF86" i="1"/>
  <c r="BF71" i="1"/>
  <c r="BF79" i="1"/>
  <c r="BF87" i="1"/>
  <c r="BF72" i="1"/>
  <c r="BF80" i="1"/>
  <c r="BF73" i="1"/>
  <c r="BF81" i="1"/>
  <c r="BF82" i="1"/>
  <c r="BF76" i="1"/>
  <c r="BF84" i="1"/>
  <c r="BF68" i="1"/>
  <c r="BF83" i="1"/>
  <c r="BC72" i="1"/>
  <c r="BC80" i="1"/>
  <c r="BC68" i="1"/>
  <c r="BC86" i="1"/>
  <c r="BC73" i="1"/>
  <c r="BC81" i="1"/>
  <c r="BC85" i="1"/>
  <c r="BC74" i="1"/>
  <c r="BC82" i="1"/>
  <c r="BC78" i="1"/>
  <c r="BC75" i="1"/>
  <c r="BC83" i="1"/>
  <c r="BC76" i="1"/>
  <c r="BC84" i="1"/>
  <c r="BC77" i="1"/>
  <c r="BC71" i="1"/>
  <c r="BC79" i="1"/>
  <c r="BC87" i="1"/>
  <c r="BC69" i="1"/>
  <c r="BC70" i="1"/>
  <c r="BJ73" i="1"/>
  <c r="BJ81" i="1"/>
  <c r="BJ70" i="1"/>
  <c r="BJ74" i="1"/>
  <c r="BJ82" i="1"/>
  <c r="BJ68" i="1"/>
  <c r="BJ75" i="1"/>
  <c r="BJ83" i="1"/>
  <c r="BJ86" i="1"/>
  <c r="BJ87" i="1"/>
  <c r="BJ76" i="1"/>
  <c r="BJ84" i="1"/>
  <c r="BJ69" i="1"/>
  <c r="BJ77" i="1"/>
  <c r="BJ85" i="1"/>
  <c r="BJ72" i="1"/>
  <c r="BJ80" i="1"/>
  <c r="BJ78" i="1"/>
  <c r="BJ71" i="1"/>
  <c r="BJ79" i="1"/>
  <c r="BK72" i="1"/>
  <c r="BK80" i="1"/>
  <c r="BK68" i="1"/>
  <c r="BK69" i="1"/>
  <c r="BK73" i="1"/>
  <c r="BK81" i="1"/>
  <c r="BK78" i="1"/>
  <c r="BK74" i="1"/>
  <c r="BK82" i="1"/>
  <c r="BK70" i="1"/>
  <c r="BK75" i="1"/>
  <c r="BK83" i="1"/>
  <c r="BK77" i="1"/>
  <c r="BK76" i="1"/>
  <c r="BK84" i="1"/>
  <c r="BK71" i="1"/>
  <c r="BK79" i="1"/>
  <c r="BK87" i="1"/>
  <c r="BK85" i="1"/>
  <c r="BK86" i="1"/>
  <c r="BD71" i="1"/>
  <c r="BD79" i="1"/>
  <c r="BD87" i="1"/>
  <c r="BD76" i="1"/>
  <c r="BD84" i="1"/>
  <c r="BD72" i="1"/>
  <c r="BD80" i="1"/>
  <c r="BD69" i="1"/>
  <c r="BD85" i="1"/>
  <c r="BD73" i="1"/>
  <c r="BD81" i="1"/>
  <c r="BD74" i="1"/>
  <c r="BD82" i="1"/>
  <c r="BD77" i="1"/>
  <c r="BD75" i="1"/>
  <c r="BD83" i="1"/>
  <c r="BD70" i="1"/>
  <c r="BD78" i="1"/>
  <c r="BD86" i="1"/>
  <c r="BD68" i="1"/>
  <c r="BE70" i="1"/>
  <c r="BE78" i="1"/>
  <c r="BE86" i="1"/>
  <c r="BE71" i="1"/>
  <c r="BE79" i="1"/>
  <c r="BE87" i="1"/>
  <c r="BE72" i="1"/>
  <c r="BE80" i="1"/>
  <c r="BE73" i="1"/>
  <c r="BE81" i="1"/>
  <c r="BE83" i="1"/>
  <c r="BE84" i="1"/>
  <c r="BE74" i="1"/>
  <c r="BE82" i="1"/>
  <c r="BE68" i="1"/>
  <c r="BE69" i="1"/>
  <c r="BE77" i="1"/>
  <c r="BE85" i="1"/>
  <c r="BE75" i="1"/>
  <c r="BE76" i="1"/>
  <c r="BH75" i="1"/>
  <c r="BH83" i="1"/>
  <c r="BH72" i="1"/>
  <c r="BH80" i="1"/>
  <c r="BH76" i="1"/>
  <c r="BH84" i="1"/>
  <c r="BH73" i="1"/>
  <c r="BH69" i="1"/>
  <c r="BH77" i="1"/>
  <c r="BH85" i="1"/>
  <c r="BH70" i="1"/>
  <c r="BH78" i="1"/>
  <c r="BH86" i="1"/>
  <c r="BH68" i="1"/>
  <c r="BH71" i="1"/>
  <c r="BH79" i="1"/>
  <c r="BH87" i="1"/>
  <c r="BH81" i="1"/>
  <c r="BH74" i="1"/>
  <c r="BH82" i="1"/>
  <c r="BG76" i="1"/>
  <c r="BG84" i="1"/>
  <c r="BG69" i="1"/>
  <c r="BG77" i="1"/>
  <c r="BG85" i="1"/>
  <c r="BG70" i="1"/>
  <c r="BG78" i="1"/>
  <c r="BG86" i="1"/>
  <c r="BG74" i="1"/>
  <c r="BG82" i="1"/>
  <c r="BG71" i="1"/>
  <c r="BG79" i="1"/>
  <c r="BG87" i="1"/>
  <c r="BG72" i="1"/>
  <c r="BG80" i="1"/>
  <c r="BG68" i="1"/>
  <c r="BG75" i="1"/>
  <c r="BG83" i="1"/>
  <c r="BG73" i="1"/>
  <c r="BG81" i="1"/>
  <c r="BI74" i="1"/>
  <c r="BI82" i="1"/>
  <c r="BI87" i="1"/>
  <c r="BI80" i="1"/>
  <c r="BI75" i="1"/>
  <c r="BI83" i="1"/>
  <c r="BI76" i="1"/>
  <c r="BI84" i="1"/>
  <c r="BI68" i="1"/>
  <c r="BI79" i="1"/>
  <c r="BI69" i="1"/>
  <c r="BI77" i="1"/>
  <c r="BI85" i="1"/>
  <c r="BI70" i="1"/>
  <c r="BI78" i="1"/>
  <c r="BI86" i="1"/>
  <c r="BI73" i="1"/>
  <c r="BI81" i="1"/>
  <c r="BI71" i="1"/>
  <c r="BI72" i="1"/>
  <c r="BB69" i="1"/>
  <c r="BB73" i="1"/>
  <c r="BB77" i="1"/>
  <c r="BB70" i="1"/>
  <c r="BB74" i="1"/>
  <c r="BB78" i="1"/>
  <c r="BB86" i="1"/>
  <c r="BB81" i="1"/>
  <c r="BB82" i="1"/>
  <c r="BB68" i="1"/>
  <c r="BB75" i="1"/>
  <c r="BB87" i="1"/>
  <c r="BB85" i="1"/>
  <c r="BB71" i="1"/>
  <c r="BB79" i="1"/>
  <c r="BB83" i="1"/>
  <c r="BB72" i="1"/>
  <c r="BB76" i="1"/>
  <c r="BB80" i="1"/>
  <c r="BB84" i="1"/>
  <c r="BL71" i="1"/>
  <c r="BL79" i="1"/>
  <c r="BL87" i="1"/>
  <c r="BL84" i="1"/>
  <c r="BL78" i="1"/>
  <c r="BL72" i="1"/>
  <c r="BL80" i="1"/>
  <c r="BL68" i="1"/>
  <c r="BL73" i="1"/>
  <c r="BL81" i="1"/>
  <c r="BL76" i="1"/>
  <c r="BL70" i="1"/>
  <c r="BL74" i="1"/>
  <c r="BL82" i="1"/>
  <c r="BL75" i="1"/>
  <c r="BL83" i="1"/>
  <c r="BL69" i="1"/>
  <c r="BL77" i="1"/>
  <c r="BL85" i="1"/>
  <c r="BL86" i="1"/>
  <c r="BT71" i="1"/>
  <c r="BT79" i="1"/>
  <c r="BT87" i="1"/>
  <c r="BT84" i="1"/>
  <c r="BT72" i="1"/>
  <c r="BT80" i="1"/>
  <c r="BT68" i="1"/>
  <c r="BT76" i="1"/>
  <c r="BT73" i="1"/>
  <c r="BT81" i="1"/>
  <c r="BT74" i="1"/>
  <c r="BT82" i="1"/>
  <c r="BT75" i="1"/>
  <c r="BT83" i="1"/>
  <c r="BT69" i="1"/>
  <c r="BT77" i="1"/>
  <c r="BT85" i="1"/>
  <c r="BT70" i="1"/>
  <c r="BT78" i="1"/>
  <c r="BT86" i="1"/>
  <c r="BP71" i="1"/>
  <c r="BP79" i="1"/>
  <c r="BP87" i="1"/>
  <c r="BP72" i="1"/>
  <c r="BP80" i="1"/>
  <c r="BP68" i="1"/>
  <c r="BP84" i="1"/>
  <c r="BP73" i="1"/>
  <c r="BP81" i="1"/>
  <c r="BP76" i="1"/>
  <c r="BP74" i="1"/>
  <c r="BP82" i="1"/>
  <c r="BP75" i="1"/>
  <c r="BP83" i="1"/>
  <c r="BP69" i="1"/>
  <c r="BP77" i="1"/>
  <c r="BP85" i="1"/>
  <c r="BP70" i="1"/>
  <c r="BP78" i="1"/>
  <c r="BP86" i="1"/>
  <c r="BQ75" i="1"/>
  <c r="BQ83" i="1"/>
  <c r="BQ68" i="1"/>
  <c r="BQ76" i="1"/>
  <c r="BQ84" i="1"/>
  <c r="BQ69" i="1"/>
  <c r="BQ77" i="1"/>
  <c r="BQ85" i="1"/>
  <c r="BQ70" i="1"/>
  <c r="BQ78" i="1"/>
  <c r="BQ86" i="1"/>
  <c r="BQ80" i="1"/>
  <c r="BQ71" i="1"/>
  <c r="BQ79" i="1"/>
  <c r="BQ87" i="1"/>
  <c r="BQ72" i="1"/>
  <c r="BQ73" i="1"/>
  <c r="BQ81" i="1"/>
  <c r="BQ74" i="1"/>
  <c r="BQ82" i="1"/>
  <c r="BM75" i="1"/>
  <c r="BM83" i="1"/>
  <c r="BM76" i="1"/>
  <c r="BM84" i="1"/>
  <c r="BM68" i="1"/>
  <c r="BM69" i="1"/>
  <c r="BM77" i="1"/>
  <c r="BM85" i="1"/>
  <c r="BM72" i="1"/>
  <c r="BM70" i="1"/>
  <c r="BM78" i="1"/>
  <c r="BM86" i="1"/>
  <c r="BM71" i="1"/>
  <c r="BM79" i="1"/>
  <c r="BM87" i="1"/>
  <c r="BM80" i="1"/>
  <c r="BM82" i="1"/>
  <c r="BM73" i="1"/>
  <c r="BM81" i="1"/>
  <c r="BM74" i="1"/>
  <c r="BS75" i="1"/>
  <c r="BS83" i="1"/>
  <c r="BS76" i="1"/>
  <c r="BS84" i="1"/>
  <c r="BS69" i="1"/>
  <c r="BS77" i="1"/>
  <c r="BS85" i="1"/>
  <c r="BS72" i="1"/>
  <c r="BS80" i="1"/>
  <c r="BS68" i="1"/>
  <c r="BS70" i="1"/>
  <c r="BS78" i="1"/>
  <c r="BS86" i="1"/>
  <c r="BS71" i="1"/>
  <c r="BS79" i="1"/>
  <c r="BS87" i="1"/>
  <c r="BS73" i="1"/>
  <c r="BS81" i="1"/>
  <c r="BS74" i="1"/>
  <c r="BS82" i="1"/>
  <c r="BU75" i="1"/>
  <c r="BU83" i="1"/>
  <c r="BU76" i="1"/>
  <c r="BU84" i="1"/>
  <c r="BU69" i="1"/>
  <c r="BU77" i="1"/>
  <c r="BU85" i="1"/>
  <c r="BU80" i="1"/>
  <c r="BU70" i="1"/>
  <c r="BU78" i="1"/>
  <c r="BU86" i="1"/>
  <c r="BU68" i="1"/>
  <c r="BU71" i="1"/>
  <c r="BU79" i="1"/>
  <c r="BU87" i="1"/>
  <c r="BU72" i="1"/>
  <c r="BU73" i="1"/>
  <c r="BU81" i="1"/>
  <c r="BU74" i="1"/>
  <c r="BU82" i="1"/>
  <c r="BR71" i="1"/>
  <c r="BR79" i="1"/>
  <c r="BR87" i="1"/>
  <c r="BR72" i="1"/>
  <c r="BR80" i="1"/>
  <c r="BR68" i="1"/>
  <c r="BR76" i="1"/>
  <c r="BR73" i="1"/>
  <c r="BR81" i="1"/>
  <c r="BR84" i="1"/>
  <c r="BR74" i="1"/>
  <c r="BR82" i="1"/>
  <c r="BR75" i="1"/>
  <c r="BR83" i="1"/>
  <c r="BR69" i="1"/>
  <c r="BR77" i="1"/>
  <c r="BR85" i="1"/>
  <c r="BR70" i="1"/>
  <c r="BR78" i="1"/>
  <c r="BR86" i="1"/>
  <c r="BO75" i="1"/>
  <c r="BO83" i="1"/>
  <c r="BO76" i="1"/>
  <c r="BO84" i="1"/>
  <c r="BO68" i="1"/>
  <c r="BO69" i="1"/>
  <c r="BO77" i="1"/>
  <c r="BO85" i="1"/>
  <c r="BO72" i="1"/>
  <c r="BO70" i="1"/>
  <c r="BO78" i="1"/>
  <c r="BO86" i="1"/>
  <c r="BO71" i="1"/>
  <c r="BO79" i="1"/>
  <c r="BO87" i="1"/>
  <c r="BO80" i="1"/>
  <c r="BO73" i="1"/>
  <c r="BO81" i="1"/>
  <c r="BO74" i="1"/>
  <c r="BO82" i="1"/>
  <c r="BN71" i="1"/>
  <c r="BN79" i="1"/>
  <c r="BN87" i="1"/>
  <c r="BN84" i="1"/>
  <c r="BN72" i="1"/>
  <c r="BN80" i="1"/>
  <c r="BN68" i="1"/>
  <c r="BN73" i="1"/>
  <c r="BN81" i="1"/>
  <c r="BN74" i="1"/>
  <c r="BN82" i="1"/>
  <c r="BN76" i="1"/>
  <c r="BN75" i="1"/>
  <c r="BN83" i="1"/>
  <c r="BN69" i="1"/>
  <c r="BN77" i="1"/>
  <c r="BN85" i="1"/>
  <c r="BN70" i="1"/>
  <c r="BN78" i="1"/>
  <c r="BN86" i="1"/>
  <c r="AO84" i="1"/>
  <c r="AP84" i="1"/>
  <c r="AP79" i="1"/>
  <c r="AO79" i="1"/>
  <c r="AO85" i="1"/>
  <c r="AP85" i="1"/>
  <c r="AP87" i="1"/>
  <c r="AO87" i="1"/>
  <c r="AO80" i="1"/>
  <c r="AP80" i="1"/>
  <c r="AO82" i="1"/>
  <c r="AP82" i="1"/>
  <c r="AO83" i="1"/>
  <c r="AP83" i="1"/>
  <c r="AO86" i="1"/>
  <c r="AP86" i="1"/>
  <c r="AO81" i="1"/>
  <c r="AP81" i="1"/>
  <c r="AO78" i="1"/>
  <c r="AP78" i="1"/>
  <c r="AH68" i="1"/>
  <c r="AH77" i="1"/>
  <c r="AH71" i="1"/>
  <c r="AB12" i="1"/>
  <c r="AB69" i="1" s="1"/>
  <c r="H69" i="1" s="1"/>
  <c r="AN69" i="1" s="1"/>
  <c r="AB70" i="1"/>
  <c r="AB71" i="1"/>
  <c r="H71" i="1" s="1"/>
  <c r="AN71" i="1" s="1"/>
  <c r="AB72" i="1"/>
  <c r="H72" i="1" s="1"/>
  <c r="AN72" i="1" s="1"/>
  <c r="AB73" i="1"/>
  <c r="AB74" i="1"/>
  <c r="H74" i="1" s="1"/>
  <c r="AN74" i="1" s="1"/>
  <c r="AB75" i="1"/>
  <c r="H75" i="1" s="1"/>
  <c r="AN75" i="1" s="1"/>
  <c r="AC21" i="1"/>
  <c r="AC22" i="1"/>
  <c r="AC23" i="1"/>
  <c r="AD24" i="1"/>
  <c r="AC81" i="1" s="1"/>
  <c r="AD25" i="1"/>
  <c r="AC82" i="1" s="1"/>
  <c r="AD26" i="1"/>
  <c r="AC83" i="1" s="1"/>
  <c r="AD27" i="1"/>
  <c r="AC84" i="1" s="1"/>
  <c r="AD28" i="1"/>
  <c r="AC85" i="1" s="1"/>
  <c r="AC29" i="1"/>
  <c r="AC30" i="1"/>
  <c r="AB31" i="1"/>
  <c r="AB11" i="1"/>
  <c r="AB68" i="1" s="1"/>
  <c r="W12" i="1"/>
  <c r="W69" i="1" s="1"/>
  <c r="W13" i="1"/>
  <c r="W70" i="1" s="1"/>
  <c r="W14" i="1"/>
  <c r="W71" i="1" s="1"/>
  <c r="W15" i="1"/>
  <c r="W72" i="1" s="1"/>
  <c r="W16" i="1"/>
  <c r="W73" i="1" s="1"/>
  <c r="W17" i="1"/>
  <c r="W74" i="1" s="1"/>
  <c r="W18" i="1"/>
  <c r="W75" i="1" s="1"/>
  <c r="W19" i="1"/>
  <c r="W20" i="1"/>
  <c r="W21" i="1"/>
  <c r="W22" i="1"/>
  <c r="W23" i="1"/>
  <c r="W24" i="1"/>
  <c r="W25" i="1"/>
  <c r="W26" i="1"/>
  <c r="W27" i="1"/>
  <c r="W28" i="1"/>
  <c r="W29" i="1"/>
  <c r="W30" i="1"/>
  <c r="W31" i="1"/>
  <c r="W11" i="1"/>
  <c r="W68" i="1" s="1"/>
  <c r="T11" i="1"/>
  <c r="F129" i="1" s="1"/>
  <c r="AF41" i="1"/>
  <c r="AF42" i="1"/>
  <c r="AF43" i="1"/>
  <c r="AE60" i="1"/>
  <c r="AF60" i="1" s="1"/>
  <c r="AF40" i="1"/>
  <c r="L40" i="1" s="1"/>
  <c r="F121" i="1" l="1"/>
  <c r="F122" i="1"/>
  <c r="F114" i="1"/>
  <c r="F118" i="1"/>
  <c r="H68" i="1"/>
  <c r="AN68" i="1" s="1"/>
  <c r="BQ66" i="1"/>
  <c r="BX83" i="1" s="1"/>
  <c r="BV83" i="1" s="1"/>
  <c r="BK66" i="1"/>
  <c r="BX77" i="1" s="1"/>
  <c r="BV77" i="1" s="1"/>
  <c r="BC66" i="1"/>
  <c r="BX69" i="1" s="1"/>
  <c r="BV69" i="1" s="1"/>
  <c r="BS66" i="1"/>
  <c r="BX85" i="1" s="1"/>
  <c r="BV85" i="1" s="1"/>
  <c r="BP66" i="1"/>
  <c r="BX82" i="1" s="1"/>
  <c r="BV82" i="1" s="1"/>
  <c r="BB66" i="1"/>
  <c r="BX68" i="1" s="1"/>
  <c r="BV68" i="1" s="1"/>
  <c r="BH66" i="1"/>
  <c r="BX74" i="1" s="1"/>
  <c r="BV74" i="1" s="1"/>
  <c r="BJ66" i="1"/>
  <c r="BX76" i="1" s="1"/>
  <c r="BV76" i="1" s="1"/>
  <c r="BU66" i="1"/>
  <c r="BX87" i="1" s="1"/>
  <c r="BV87" i="1" s="1"/>
  <c r="BG66" i="1"/>
  <c r="BX73" i="1" s="1"/>
  <c r="BV73" i="1" s="1"/>
  <c r="BD66" i="1"/>
  <c r="BX70" i="1" s="1"/>
  <c r="BV70" i="1" s="1"/>
  <c r="BL66" i="1"/>
  <c r="BX78" i="1" s="1"/>
  <c r="BV78" i="1" s="1"/>
  <c r="BM66" i="1"/>
  <c r="BX79" i="1" s="1"/>
  <c r="BV79" i="1" s="1"/>
  <c r="BN66" i="1"/>
  <c r="BX80" i="1" s="1"/>
  <c r="BV80" i="1" s="1"/>
  <c r="BT66" i="1"/>
  <c r="BX86" i="1" s="1"/>
  <c r="BV86" i="1" s="1"/>
  <c r="BE66" i="1"/>
  <c r="BX71" i="1" s="1"/>
  <c r="BV71" i="1" s="1"/>
  <c r="BF66" i="1"/>
  <c r="BX72" i="1" s="1"/>
  <c r="BV72" i="1" s="1"/>
  <c r="BR66" i="1"/>
  <c r="BX84" i="1" s="1"/>
  <c r="BV84" i="1" s="1"/>
  <c r="BO66" i="1"/>
  <c r="BX81" i="1" s="1"/>
  <c r="BV81" i="1" s="1"/>
  <c r="BI66" i="1"/>
  <c r="BX75" i="1" s="1"/>
  <c r="BV75" i="1" s="1"/>
  <c r="AO72" i="1"/>
  <c r="AP72" i="1"/>
  <c r="H70" i="1"/>
  <c r="AN70" i="1" s="1"/>
  <c r="AO75" i="1"/>
  <c r="AP75" i="1"/>
  <c r="AO69" i="1"/>
  <c r="AP69" i="1"/>
  <c r="AO74" i="1"/>
  <c r="AP74" i="1"/>
  <c r="AP71" i="1"/>
  <c r="AO71" i="1"/>
  <c r="H73" i="1"/>
  <c r="AN73" i="1" s="1"/>
  <c r="AC31" i="1"/>
  <c r="AB88" i="1"/>
  <c r="X31" i="1"/>
  <c r="X88" i="1" s="1"/>
  <c r="W88" i="1"/>
  <c r="X27" i="1"/>
  <c r="W84" i="1"/>
  <c r="V31" i="1"/>
  <c r="U88" i="1"/>
  <c r="X26" i="1"/>
  <c r="N26" i="1" s="1"/>
  <c r="W83" i="1"/>
  <c r="X25" i="1"/>
  <c r="N25" i="1" s="1"/>
  <c r="W82" i="1"/>
  <c r="X24" i="1"/>
  <c r="N24" i="1" s="1"/>
  <c r="W81" i="1"/>
  <c r="X23" i="1"/>
  <c r="W80" i="1"/>
  <c r="X22" i="1"/>
  <c r="W79" i="1"/>
  <c r="X21" i="1"/>
  <c r="N21" i="1" s="1"/>
  <c r="W78" i="1"/>
  <c r="X29" i="1"/>
  <c r="W86" i="1"/>
  <c r="X28" i="1"/>
  <c r="W85" i="1"/>
  <c r="X30" i="1"/>
  <c r="W87" i="1"/>
  <c r="AC28" i="1"/>
  <c r="AD11" i="1"/>
  <c r="U68" i="1"/>
  <c r="AD13" i="1"/>
  <c r="F125" i="1" s="1"/>
  <c r="AD12" i="1"/>
  <c r="AC69" i="1" s="1"/>
  <c r="AC11" i="1"/>
  <c r="AC24" i="1"/>
  <c r="AC18" i="1"/>
  <c r="AC17" i="1"/>
  <c r="AC27" i="1"/>
  <c r="AD17" i="1"/>
  <c r="AC74" i="1" s="1"/>
  <c r="AD23" i="1"/>
  <c r="AH31" i="1"/>
  <c r="X12" i="1"/>
  <c r="L12" i="1" s="1"/>
  <c r="AC26" i="1"/>
  <c r="AC16" i="1"/>
  <c r="AD29" i="1"/>
  <c r="AC86" i="1" s="1"/>
  <c r="AD21" i="1"/>
  <c r="AC78" i="1" s="1"/>
  <c r="AD31" i="1"/>
  <c r="AD20" i="1"/>
  <c r="AC77" i="1" s="1"/>
  <c r="AB77" i="1"/>
  <c r="H77" i="1" s="1"/>
  <c r="AN77" i="1" s="1"/>
  <c r="AC25" i="1"/>
  <c r="AC15" i="1"/>
  <c r="AD18" i="1"/>
  <c r="AC75" i="1" s="1"/>
  <c r="AD22" i="1"/>
  <c r="AC79" i="1" s="1"/>
  <c r="AC19" i="1"/>
  <c r="AB76" i="1"/>
  <c r="H76" i="1" s="1"/>
  <c r="AN76" i="1" s="1"/>
  <c r="AC14" i="1"/>
  <c r="AD30" i="1"/>
  <c r="AC87" i="1" s="1"/>
  <c r="AC13" i="1"/>
  <c r="AD16" i="1"/>
  <c r="AC73" i="1" s="1"/>
  <c r="AC12" i="1"/>
  <c r="AD15" i="1"/>
  <c r="AD14" i="1"/>
  <c r="X13" i="1"/>
  <c r="X18" i="1"/>
  <c r="N18" i="1" s="1"/>
  <c r="X17" i="1"/>
  <c r="N17" i="1" s="1"/>
  <c r="X16" i="1"/>
  <c r="X20" i="1"/>
  <c r="N20" i="1" s="1"/>
  <c r="W77" i="1"/>
  <c r="X15" i="1"/>
  <c r="N15" i="1" s="1"/>
  <c r="X19" i="1"/>
  <c r="W76" i="1"/>
  <c r="X14" i="1"/>
  <c r="N14" i="1" s="1"/>
  <c r="AH11" i="1"/>
  <c r="X11" i="1"/>
  <c r="L11" i="1" s="1"/>
  <c r="V11" i="1"/>
  <c r="AC20" i="1"/>
  <c r="AD19" i="1"/>
  <c r="AC76" i="1" s="1"/>
  <c r="X87" i="1" l="1"/>
  <c r="AF30" i="1"/>
  <c r="AE30" i="1"/>
  <c r="X86" i="1"/>
  <c r="AE29" i="1"/>
  <c r="G124" i="1" s="1"/>
  <c r="AF29" i="1"/>
  <c r="X85" i="1"/>
  <c r="AE28" i="1"/>
  <c r="AF28" i="1"/>
  <c r="X84" i="1"/>
  <c r="AE27" i="1"/>
  <c r="AF27" i="1"/>
  <c r="N19" i="1"/>
  <c r="N22" i="1"/>
  <c r="N16" i="1"/>
  <c r="AC80" i="1"/>
  <c r="F123" i="1"/>
  <c r="N23" i="1"/>
  <c r="X83" i="1"/>
  <c r="AE26" i="1"/>
  <c r="AF26" i="1"/>
  <c r="X82" i="1"/>
  <c r="AF25" i="1"/>
  <c r="AE25" i="1"/>
  <c r="X81" i="1"/>
  <c r="AE24" i="1"/>
  <c r="AF24" i="1"/>
  <c r="X80" i="1"/>
  <c r="AE23" i="1"/>
  <c r="AF23" i="1"/>
  <c r="F126" i="1"/>
  <c r="X79" i="1"/>
  <c r="AE22" i="1"/>
  <c r="AF22" i="1"/>
  <c r="AE21" i="1"/>
  <c r="AF21" i="1"/>
  <c r="AF20" i="1"/>
  <c r="AE20" i="1"/>
  <c r="AE19" i="1"/>
  <c r="AF19" i="1"/>
  <c r="AF18" i="1"/>
  <c r="AE18" i="1"/>
  <c r="AF17" i="1"/>
  <c r="AE17" i="1"/>
  <c r="AE16" i="1"/>
  <c r="AF16" i="1"/>
  <c r="AF15" i="1"/>
  <c r="AE15" i="1"/>
  <c r="G114" i="1" s="1"/>
  <c r="H114" i="1" s="1"/>
  <c r="AE14" i="1"/>
  <c r="G130" i="1" s="1"/>
  <c r="AF14" i="1"/>
  <c r="V88" i="1"/>
  <c r="F128" i="1"/>
  <c r="N13" i="1"/>
  <c r="AF13" i="1"/>
  <c r="AE13" i="1"/>
  <c r="AE12" i="1"/>
  <c r="N12" i="1"/>
  <c r="AF12" i="1"/>
  <c r="N11" i="1"/>
  <c r="AP68" i="1"/>
  <c r="AO68" i="1"/>
  <c r="AE11" i="1"/>
  <c r="AF11" i="1"/>
  <c r="AC72" i="1"/>
  <c r="AC71" i="1"/>
  <c r="AC70" i="1"/>
  <c r="X78" i="1"/>
  <c r="X76" i="1"/>
  <c r="X77" i="1"/>
  <c r="X69" i="1"/>
  <c r="X68" i="1"/>
  <c r="AC68" i="1"/>
  <c r="AO70" i="1"/>
  <c r="AP70" i="1"/>
  <c r="AO76" i="1"/>
  <c r="AP76" i="1"/>
  <c r="AO77" i="1"/>
  <c r="AP77" i="1"/>
  <c r="V86" i="1"/>
  <c r="L86" i="1" s="1"/>
  <c r="V85" i="1"/>
  <c r="V84" i="1"/>
  <c r="V83" i="1"/>
  <c r="L83" i="1" s="1"/>
  <c r="V82" i="1"/>
  <c r="L82" i="1" s="1"/>
  <c r="V81" i="1"/>
  <c r="L81" i="1" s="1"/>
  <c r="V80" i="1"/>
  <c r="L80" i="1" s="1"/>
  <c r="V79" i="1"/>
  <c r="L79" i="1" s="1"/>
  <c r="V78" i="1"/>
  <c r="L78" i="1" s="1"/>
  <c r="V77" i="1"/>
  <c r="V76" i="1"/>
  <c r="L76" i="1" s="1"/>
  <c r="V75" i="1"/>
  <c r="V74" i="1"/>
  <c r="V72" i="1"/>
  <c r="V71" i="1"/>
  <c r="V69" i="1"/>
  <c r="AO73" i="1"/>
  <c r="AP73" i="1"/>
  <c r="V70" i="1"/>
  <c r="V73" i="1"/>
  <c r="L73" i="1" s="1"/>
  <c r="AC88" i="1"/>
  <c r="V87" i="1"/>
  <c r="L87" i="1" s="1"/>
  <c r="X70" i="1"/>
  <c r="X75" i="1"/>
  <c r="X74" i="1"/>
  <c r="X72" i="1"/>
  <c r="X71" i="1"/>
  <c r="X73" i="1"/>
  <c r="V68" i="1"/>
  <c r="L68" i="1" l="1"/>
  <c r="G126" i="1"/>
  <c r="L85" i="1"/>
  <c r="AD85" i="1"/>
  <c r="AE85" i="1" s="1"/>
  <c r="AD87" i="1"/>
  <c r="AE87" i="1" s="1"/>
  <c r="AD86" i="1"/>
  <c r="AE86" i="1" s="1"/>
  <c r="L84" i="1"/>
  <c r="AD84" i="1"/>
  <c r="AE84" i="1" s="1"/>
  <c r="L77" i="1"/>
  <c r="L75" i="1"/>
  <c r="G116" i="1"/>
  <c r="G118" i="1"/>
  <c r="AD70" i="1"/>
  <c r="AE70" i="1" s="1"/>
  <c r="AD79" i="1"/>
  <c r="AE79" i="1" s="1"/>
  <c r="G129" i="1"/>
  <c r="AD83" i="1"/>
  <c r="AE83" i="1" s="1"/>
  <c r="AD82" i="1"/>
  <c r="AE82" i="1" s="1"/>
  <c r="G128" i="1"/>
  <c r="AD81" i="1"/>
  <c r="AE81" i="1" s="1"/>
  <c r="AD80" i="1"/>
  <c r="AE80" i="1" s="1"/>
  <c r="AD78" i="1"/>
  <c r="AE78" i="1" s="1"/>
  <c r="AD76" i="1"/>
  <c r="AE76" i="1" s="1"/>
  <c r="AD77" i="1"/>
  <c r="AE77" i="1" s="1"/>
  <c r="AD75" i="1"/>
  <c r="AE75" i="1" s="1"/>
  <c r="AD74" i="1"/>
  <c r="AE74" i="1" s="1"/>
  <c r="AD73" i="1"/>
  <c r="AE73" i="1" s="1"/>
  <c r="AD72" i="1"/>
  <c r="AE72" i="1" s="1"/>
  <c r="AD71" i="1"/>
  <c r="AE71" i="1" s="1"/>
  <c r="AD69" i="1"/>
  <c r="AE69" i="1" s="1"/>
  <c r="F120" i="1"/>
  <c r="G115" i="1"/>
  <c r="F139" i="1"/>
  <c r="F115" i="1"/>
  <c r="F116" i="1"/>
  <c r="F119" i="1"/>
  <c r="F117" i="1"/>
  <c r="AD68" i="1"/>
  <c r="O36" i="1"/>
  <c r="C11" i="18"/>
  <c r="C13" i="18"/>
  <c r="C15" i="18"/>
  <c r="C17" i="18"/>
  <c r="C19" i="18"/>
  <c r="C21" i="18"/>
  <c r="C23" i="18"/>
  <c r="C25" i="18"/>
  <c r="C27" i="18"/>
  <c r="C29" i="18"/>
  <c r="C31" i="18"/>
  <c r="C33" i="18"/>
  <c r="C35" i="18"/>
  <c r="C37" i="18"/>
  <c r="C39" i="18"/>
  <c r="C41" i="18"/>
  <c r="C43" i="18"/>
  <c r="C45" i="18"/>
  <c r="C47" i="18"/>
  <c r="C9" i="18"/>
  <c r="M84" i="1" l="1"/>
  <c r="M85" i="1"/>
  <c r="M69" i="1"/>
  <c r="M78" i="1"/>
  <c r="M73" i="1"/>
  <c r="M76" i="1"/>
  <c r="M75" i="1"/>
  <c r="M77" i="1"/>
  <c r="M83" i="1"/>
  <c r="M86" i="1"/>
  <c r="M81" i="1"/>
  <c r="M79" i="1"/>
  <c r="M82" i="1"/>
  <c r="M80" i="1"/>
  <c r="M87" i="1"/>
  <c r="G117" i="1"/>
  <c r="G123" i="1"/>
  <c r="M72" i="1"/>
  <c r="G122" i="1"/>
  <c r="G121" i="1"/>
  <c r="M71" i="1"/>
  <c r="G131" i="1"/>
  <c r="G120" i="1"/>
  <c r="M70" i="1"/>
  <c r="G125" i="1"/>
  <c r="M74" i="1"/>
  <c r="G119" i="1"/>
  <c r="M68" i="1"/>
  <c r="H115" i="1"/>
  <c r="I115" i="1" s="1"/>
  <c r="J115" i="1" s="1"/>
  <c r="H116" i="1"/>
  <c r="H133" i="1" l="1"/>
  <c r="AG14" i="1"/>
  <c r="AG15" i="1"/>
  <c r="AG16" i="1"/>
  <c r="AG17" i="1"/>
  <c r="AG18" i="1"/>
  <c r="AG20" i="1"/>
  <c r="AG19" i="1" l="1"/>
  <c r="O49" i="4"/>
  <c r="P49" i="4" s="1"/>
  <c r="O48" i="4"/>
  <c r="P48" i="4" s="1"/>
  <c r="O47" i="4"/>
  <c r="P47" i="4" s="1"/>
  <c r="I61" i="1"/>
  <c r="AG12" i="1"/>
  <c r="AG13" i="1"/>
  <c r="AG11" i="1"/>
  <c r="S38" i="4"/>
  <c r="T38" i="4" s="1"/>
  <c r="S37" i="4"/>
  <c r="T37" i="4" s="1"/>
  <c r="S36" i="4"/>
  <c r="T36" i="4" s="1"/>
  <c r="I97" i="1" l="1"/>
  <c r="P97" i="1"/>
  <c r="P98" i="1"/>
  <c r="I98" i="1"/>
  <c r="I96" i="1"/>
  <c r="H130" i="1"/>
  <c r="H123" i="1"/>
  <c r="I123" i="1" s="1"/>
  <c r="J123" i="1" s="1"/>
  <c r="L99" i="1" l="1"/>
  <c r="J31" i="1" s="1"/>
  <c r="P99" i="1"/>
  <c r="I60" i="1" s="1"/>
  <c r="L60" i="1" s="1"/>
  <c r="O99" i="1"/>
  <c r="K31" i="1" s="1"/>
  <c r="H132" i="1"/>
  <c r="I99" i="1"/>
  <c r="I31" i="1" s="1"/>
  <c r="AE31" i="1" l="1"/>
  <c r="P1" i="1" s="1"/>
  <c r="M31" i="1"/>
  <c r="N31" i="1" s="1"/>
  <c r="N32" i="1" s="1"/>
  <c r="P2" i="1" s="1"/>
  <c r="I88" i="1"/>
  <c r="L88" i="1" s="1"/>
  <c r="G135" i="1" s="1"/>
  <c r="AF31" i="1"/>
  <c r="T88" i="1"/>
  <c r="AD88" i="1" s="1"/>
  <c r="AE68" i="1"/>
  <c r="L31" i="1"/>
  <c r="F135" i="1" s="1"/>
  <c r="H125" i="1"/>
  <c r="I125" i="1" s="1"/>
  <c r="J125" i="1" s="1"/>
  <c r="H122" i="1"/>
  <c r="L32" i="1" l="1"/>
  <c r="D11" i="11" s="1"/>
  <c r="F138" i="1"/>
  <c r="G139" i="1"/>
  <c r="G138" i="1"/>
  <c r="L89" i="1"/>
  <c r="H129" i="1"/>
  <c r="I129" i="1" s="1"/>
  <c r="J129" i="1" s="1"/>
  <c r="H128" i="1"/>
  <c r="H126" i="1"/>
  <c r="AF88" i="1"/>
  <c r="H124" i="1"/>
  <c r="H131" i="1"/>
  <c r="H118" i="1"/>
  <c r="H117" i="1"/>
  <c r="I117" i="1" l="1"/>
  <c r="J117" i="1" s="1"/>
  <c r="P4" i="1"/>
  <c r="H135" i="1"/>
  <c r="I135" i="1" s="1"/>
  <c r="J135" i="1" s="1"/>
  <c r="C36" i="11"/>
  <c r="AG31" i="1"/>
  <c r="AE88" i="1"/>
  <c r="M88" i="1"/>
  <c r="M89" i="1" s="1"/>
  <c r="J32" i="1"/>
  <c r="K32" i="1"/>
  <c r="I62" i="1"/>
  <c r="I33" i="1" l="1"/>
  <c r="O33" i="1" s="1"/>
  <c r="O35" i="1"/>
  <c r="I34" i="1"/>
  <c r="O34" i="1" s="1"/>
  <c r="H139" i="1"/>
  <c r="H138" i="1"/>
  <c r="I138" i="1" s="1"/>
  <c r="O62" i="1"/>
  <c r="I139" i="1" l="1"/>
  <c r="J138" i="1"/>
  <c r="F140" i="1"/>
  <c r="I140" i="1" s="1"/>
  <c r="J140" i="1" s="1"/>
  <c r="L61" i="1"/>
  <c r="H121" i="1"/>
  <c r="I121" i="1" s="1"/>
  <c r="J121" i="1" s="1"/>
  <c r="H127" i="1"/>
  <c r="P3" i="1" l="1"/>
  <c r="D15" i="11" s="1"/>
  <c r="P5" i="1"/>
  <c r="J139" i="1"/>
  <c r="H120" i="1"/>
  <c r="H119" i="1"/>
  <c r="I119" i="1" s="1"/>
  <c r="J119" i="1" s="1"/>
  <c r="E108" i="1" s="1"/>
  <c r="J2" i="1" l="1"/>
  <c r="D36" i="11"/>
  <c r="D27" i="11"/>
  <c r="E19" i="11" s="1"/>
  <c r="J108" i="1"/>
  <c r="D5" i="11" l="1"/>
  <c r="D19" i="11"/>
  <c r="D23" i="11" s="1"/>
  <c r="E23" i="11" s="1"/>
  <c r="E109" i="1" l="1"/>
  <c r="J109" i="1" s="1"/>
  <c r="D7" i="11" l="1"/>
  <c r="D9" i="11" s="1"/>
  <c r="D10" i="11" s="1"/>
</calcChain>
</file>

<file path=xl/sharedStrings.xml><?xml version="1.0" encoding="utf-8"?>
<sst xmlns="http://schemas.openxmlformats.org/spreadsheetml/2006/main" count="3169" uniqueCount="1036">
  <si>
    <t>created by Sam Arthur @ FPCR</t>
  </si>
  <si>
    <t>Release Date:</t>
  </si>
  <si>
    <t>Cell style conventions</t>
  </si>
  <si>
    <t>Enter data</t>
  </si>
  <si>
    <t>Automated equation</t>
  </si>
  <si>
    <t>Result</t>
  </si>
  <si>
    <r>
      <rPr>
        <b/>
        <sz val="11"/>
        <color theme="1"/>
        <rFont val="Calibri"/>
        <family val="2"/>
        <scheme val="minor"/>
      </rPr>
      <t xml:space="preserve">Technical Requirements - Excel Versions: </t>
    </r>
    <r>
      <rPr>
        <sz val="11"/>
        <color theme="1"/>
        <rFont val="Calibri"/>
        <family val="2"/>
        <scheme val="minor"/>
      </rPr>
      <t>2010, 2013, 2016, 2019, Office 365, Excel for Android</t>
    </r>
  </si>
  <si>
    <t>Sheet Name</t>
  </si>
  <si>
    <t>Site Details</t>
  </si>
  <si>
    <t>1. Planning authority:</t>
  </si>
  <si>
    <t>2. Site name:</t>
  </si>
  <si>
    <t>3. Applicant:</t>
  </si>
  <si>
    <t>4. Planning application type:</t>
  </si>
  <si>
    <t>5. Planning application reference:</t>
  </si>
  <si>
    <t>6. Metric completed by (name &amp; job title):</t>
  </si>
  <si>
    <t>7. Date of metric completion:</t>
  </si>
  <si>
    <t>8. Revision number:</t>
  </si>
  <si>
    <t>9. Masterplan document title / drawing number:</t>
  </si>
  <si>
    <t>Net Gain Targets</t>
  </si>
  <si>
    <t>10. Targeted % increase in Units</t>
  </si>
  <si>
    <t>11. Targeted increase in Units if baseline value is zero - agreed with local planning authority</t>
  </si>
  <si>
    <t>For planning authority use only</t>
  </si>
  <si>
    <t>12. Planning authority reviewer:</t>
  </si>
  <si>
    <t>13. Date of planning authority review:</t>
  </si>
  <si>
    <t>Site Name:</t>
  </si>
  <si>
    <t>Desktop Assessment</t>
  </si>
  <si>
    <t>Development</t>
  </si>
  <si>
    <t>14. Select the type of proposed development.
If Other provide details at Q.24 below</t>
  </si>
  <si>
    <r>
      <t>15. Site area (m</t>
    </r>
    <r>
      <rPr>
        <b/>
        <vertAlign val="superscript"/>
        <sz val="14"/>
        <color theme="0"/>
        <rFont val="Calibri"/>
        <family val="2"/>
        <scheme val="minor"/>
      </rPr>
      <t>2</t>
    </r>
    <r>
      <rPr>
        <b/>
        <sz val="14"/>
        <color theme="0"/>
        <rFont val="Calibri"/>
        <family val="2"/>
        <scheme val="minor"/>
      </rPr>
      <t>)</t>
    </r>
  </si>
  <si>
    <t>Designated sites and priority habitats</t>
  </si>
  <si>
    <t>18. Any designated sites on or within 500m of the site?</t>
  </si>
  <si>
    <t>19. Any priority habitats on or within 500m of the site?</t>
  </si>
  <si>
    <t>20. List the designated sites and/or priority habitats</t>
  </si>
  <si>
    <t>Site walkover</t>
  </si>
  <si>
    <t>22. Site walkover completed?</t>
  </si>
  <si>
    <t>23. Date of site walkover - DD/MM/YY</t>
  </si>
  <si>
    <t>Additional details</t>
  </si>
  <si>
    <t>Supporting Information</t>
  </si>
  <si>
    <t>Baseline Habitat Photos</t>
  </si>
  <si>
    <t>Ref</t>
  </si>
  <si>
    <t>Habitat type</t>
  </si>
  <si>
    <t>Photo 1</t>
  </si>
  <si>
    <t>Photo 2</t>
  </si>
  <si>
    <t>Date taken</t>
  </si>
  <si>
    <t>Retained Units</t>
  </si>
  <si>
    <t>Data beyond this column is automated</t>
  </si>
  <si>
    <t>Lost Units</t>
  </si>
  <si>
    <t>Created Units</t>
  </si>
  <si>
    <t>Enhancement Units</t>
  </si>
  <si>
    <t>Net Change</t>
  </si>
  <si>
    <t>1a. Baseline habitats</t>
  </si>
  <si>
    <t>Habitat</t>
  </si>
  <si>
    <t>C. Strategic significance</t>
  </si>
  <si>
    <t>Baseline results</t>
  </si>
  <si>
    <t>Comments</t>
  </si>
  <si>
    <t>Habitat distinctiveness</t>
  </si>
  <si>
    <t>Habitat condition</t>
  </si>
  <si>
    <t>Strategic significance</t>
  </si>
  <si>
    <t>Ecological baseline</t>
  </si>
  <si>
    <t>Suggested action to address habitat losses</t>
  </si>
  <si>
    <t>Enhancement rules</t>
  </si>
  <si>
    <t>A. Broad Habitat</t>
  </si>
  <si>
    <t xml:space="preserve"> B. Habitat type</t>
  </si>
  <si>
    <t xml:space="preserve">D. Total Area </t>
  </si>
  <si>
    <t>E. Area retained</t>
  </si>
  <si>
    <t>F. Area enhanced</t>
  </si>
  <si>
    <t>Total habitat units onsite</t>
  </si>
  <si>
    <t>Area Lost</t>
  </si>
  <si>
    <t>Units lost</t>
  </si>
  <si>
    <t>User comments</t>
  </si>
  <si>
    <t>LPA comments</t>
  </si>
  <si>
    <t>Distinctiveness</t>
  </si>
  <si>
    <t>Score</t>
  </si>
  <si>
    <t xml:space="preserve">Condition </t>
  </si>
  <si>
    <t>Strategic position multiplier</t>
  </si>
  <si>
    <t>Baseline units retained</t>
  </si>
  <si>
    <t>Baseline units to be enhanced</t>
  </si>
  <si>
    <t>Area lost</t>
  </si>
  <si>
    <t>Trees</t>
  </si>
  <si>
    <t>Urban</t>
  </si>
  <si>
    <t>Urban Tree</t>
  </si>
  <si>
    <t>Totals (areas excl  Trees)</t>
  </si>
  <si>
    <t>Error Check 1</t>
  </si>
  <si>
    <t>Error Check 2</t>
  </si>
  <si>
    <t>Error Check 3</t>
  </si>
  <si>
    <t>1b. Habitats to be created</t>
  </si>
  <si>
    <t>Condition Assessment</t>
  </si>
  <si>
    <t>D. Strategic significance</t>
  </si>
  <si>
    <t>Habitat units created onsite</t>
  </si>
  <si>
    <t>Temporal multiplier</t>
  </si>
  <si>
    <t>Difficulty multipliers</t>
  </si>
  <si>
    <t>B. Habitat type</t>
  </si>
  <si>
    <t>Acceptable condition options</t>
  </si>
  <si>
    <t>C. Targeted condition</t>
  </si>
  <si>
    <t>Time to target condition/years</t>
  </si>
  <si>
    <t>Time to target multiplier</t>
  </si>
  <si>
    <t>Difficulty of creation category</t>
  </si>
  <si>
    <t>Difficulty of creation multiplier</t>
  </si>
  <si>
    <t>Moderate</t>
  </si>
  <si>
    <t>Error Check 4</t>
  </si>
  <si>
    <t>Divider</t>
  </si>
  <si>
    <t>1c. Habitats to be enhanced</t>
  </si>
  <si>
    <t>,</t>
  </si>
  <si>
    <t>Baseline ref</t>
  </si>
  <si>
    <t>Enhanced Habitat type</t>
  </si>
  <si>
    <t>B. Strategic significance</t>
  </si>
  <si>
    <t>Area Enhanced</t>
  </si>
  <si>
    <t>Enhanced Condition</t>
  </si>
  <si>
    <t>Net Improvement</t>
  </si>
  <si>
    <t>Baseline Values</t>
  </si>
  <si>
    <t xml:space="preserve"> Distinctiveness change acceptable?</t>
  </si>
  <si>
    <t>Enhanced multipliers</t>
  </si>
  <si>
    <t>Number of options</t>
  </si>
  <si>
    <t>Broad habitat type</t>
  </si>
  <si>
    <t>Existing habitat type</t>
  </si>
  <si>
    <t>Enhancement Type</t>
  </si>
  <si>
    <t>A. Enhanced habitat type</t>
  </si>
  <si>
    <t>Baseline distinctiveness band</t>
  </si>
  <si>
    <t>Baseline distinctiveness score</t>
  </si>
  <si>
    <t>Baseline condition category</t>
  </si>
  <si>
    <t>Baseline condition score</t>
  </si>
  <si>
    <t>Baseline strategic significance category</t>
  </si>
  <si>
    <t>Baseline strategic significance score</t>
  </si>
  <si>
    <t>Condition enhancement - Time to target condition/years</t>
  </si>
  <si>
    <t>Condition enhancement - Time to target multiplier</t>
  </si>
  <si>
    <t>Distinctiveness enhancement - Time to target condition/years</t>
  </si>
  <si>
    <t>Distinctiveness enhancement - Time to target multiplier</t>
  </si>
  <si>
    <t>Difficulty of enhancement category</t>
  </si>
  <si>
    <t>Difficulty of enhancement multiplier</t>
  </si>
  <si>
    <t>Acceptable habitat types</t>
  </si>
  <si>
    <t>Enhancement type</t>
  </si>
  <si>
    <t>option number</t>
  </si>
  <si>
    <t>List range</t>
  </si>
  <si>
    <t>Column ref</t>
  </si>
  <si>
    <t>list  length</t>
  </si>
  <si>
    <t>BB</t>
  </si>
  <si>
    <t>BC</t>
  </si>
  <si>
    <t>BD</t>
  </si>
  <si>
    <t>BE</t>
  </si>
  <si>
    <t>BF</t>
  </si>
  <si>
    <t>BG</t>
  </si>
  <si>
    <t>BH</t>
  </si>
  <si>
    <t>BI</t>
  </si>
  <si>
    <t>BJ</t>
  </si>
  <si>
    <t>BK</t>
  </si>
  <si>
    <t>BL</t>
  </si>
  <si>
    <t>BM</t>
  </si>
  <si>
    <t>BN</t>
  </si>
  <si>
    <t>BO</t>
  </si>
  <si>
    <t>BP</t>
  </si>
  <si>
    <t>BQ</t>
  </si>
  <si>
    <t>BR</t>
  </si>
  <si>
    <t>BS</t>
  </si>
  <si>
    <t>BT</t>
  </si>
  <si>
    <t>BU</t>
  </si>
  <si>
    <t>Tree size
(Diameter at breast height)</t>
  </si>
  <si>
    <t>A. Total number of trees pre development</t>
  </si>
  <si>
    <t>D. Number of new trees planted post development</t>
  </si>
  <si>
    <t>Areas</t>
  </si>
  <si>
    <t>Area pre development</t>
  </si>
  <si>
    <t>Area Enhanced by development</t>
  </si>
  <si>
    <t>Area of new trees planted post development</t>
  </si>
  <si>
    <t>Total</t>
  </si>
  <si>
    <t>Data beyond this row is automated</t>
  </si>
  <si>
    <t>1e . Trading Summary</t>
  </si>
  <si>
    <t>Broad Habitat Type</t>
  </si>
  <si>
    <t xml:space="preserve">Distinctiveness Band </t>
  </si>
  <si>
    <t>1f . Habitat trading assessment</t>
  </si>
  <si>
    <t>Broad habitat types</t>
  </si>
  <si>
    <t>Distinctiveness band</t>
  </si>
  <si>
    <t>Baseline units</t>
  </si>
  <si>
    <t>Onsite provision</t>
  </si>
  <si>
    <t>Net change</t>
  </si>
  <si>
    <t>Trading satisfied?</t>
  </si>
  <si>
    <t>Cropland</t>
  </si>
  <si>
    <t>Low</t>
  </si>
  <si>
    <t>-</t>
  </si>
  <si>
    <t>Medium</t>
  </si>
  <si>
    <t>Grassland</t>
  </si>
  <si>
    <t>Heathland and shrub</t>
  </si>
  <si>
    <t>Intertidal Hard Structures</t>
  </si>
  <si>
    <t>Intertidal sediment</t>
  </si>
  <si>
    <t>Lakes</t>
  </si>
  <si>
    <t>Sparsely vegetated land</t>
  </si>
  <si>
    <t>Woodland and forest</t>
  </si>
  <si>
    <t>Medium distinctiveness</t>
  </si>
  <si>
    <t>Low distinctiveness</t>
  </si>
  <si>
    <t>Are there sufficient Medium distinctiveness units to cover low distinctiveness losses?</t>
  </si>
  <si>
    <t>Length M</t>
  </si>
  <si>
    <t>D. Total Length</t>
  </si>
  <si>
    <t>E. Length retained</t>
  </si>
  <si>
    <t>F. Length enhanced</t>
  </si>
  <si>
    <t>Total  units onsite</t>
  </si>
  <si>
    <t>Length Lost</t>
  </si>
  <si>
    <t>Totals</t>
  </si>
  <si>
    <t>Units created onsite</t>
  </si>
  <si>
    <t>hide with styling or alter equation to look for word in adjacent column</t>
  </si>
  <si>
    <t>Hedgerow</t>
  </si>
  <si>
    <t>Line of trees</t>
  </si>
  <si>
    <t>Watercourses</t>
  </si>
  <si>
    <t xml:space="preserve"> Enhanced Habitat type</t>
  </si>
  <si>
    <t>Length Enhanced</t>
  </si>
  <si>
    <t>Headline Results</t>
  </si>
  <si>
    <t>Headline</t>
  </si>
  <si>
    <t>Next steps</t>
  </si>
  <si>
    <t>Total net unit change</t>
  </si>
  <si>
    <t>Habitat units</t>
  </si>
  <si>
    <t>Hedgerow units</t>
  </si>
  <si>
    <t>River units</t>
  </si>
  <si>
    <t>Total net % change</t>
  </si>
  <si>
    <t>Habitats units required to meet target</t>
  </si>
  <si>
    <t>Hedgerow units required to meet target</t>
  </si>
  <si>
    <t>River units required to meet target</t>
  </si>
  <si>
    <t>* based on government cost per unit of:</t>
  </si>
  <si>
    <t>Trading Rules</t>
  </si>
  <si>
    <t>Baseline</t>
  </si>
  <si>
    <t>Provision</t>
  </si>
  <si>
    <t>Habitat Type</t>
  </si>
  <si>
    <t>Risk Multipliers</t>
  </si>
  <si>
    <t>Location Multipliers</t>
  </si>
  <si>
    <t>Broad Habitat Group</t>
  </si>
  <si>
    <t>Nearest Ukhab Habitat</t>
  </si>
  <si>
    <t>Definitive Ukhab /  Unis Code</t>
  </si>
  <si>
    <t xml:space="preserve">Distinctiveness Category </t>
  </si>
  <si>
    <t>Trading Notes</t>
  </si>
  <si>
    <t>Technical Difficulty Creation</t>
  </si>
  <si>
    <t>Technical Difficulty Enhancement</t>
  </si>
  <si>
    <t>Connectivity</t>
  </si>
  <si>
    <t>Arable field margins cultivated annually</t>
  </si>
  <si>
    <t>Same broad habitat or a higher distinctiveness habitat required</t>
  </si>
  <si>
    <t>Arable field margins game bird mix</t>
  </si>
  <si>
    <t>Arable field margins pollen &amp; nectar</t>
  </si>
  <si>
    <t>Arable field margins tussocky</t>
  </si>
  <si>
    <t>Cereal crops</t>
  </si>
  <si>
    <t>Same distinctiveness or better habitat required</t>
  </si>
  <si>
    <t>Cereal crops winter stubble</t>
  </si>
  <si>
    <t>Horticulture</t>
  </si>
  <si>
    <t>Intensive orchards</t>
  </si>
  <si>
    <t>Non-cereal crops</t>
  </si>
  <si>
    <t>Temporary grass and clover leys</t>
  </si>
  <si>
    <t>Bracken</t>
  </si>
  <si>
    <t>Modified grassland</t>
  </si>
  <si>
    <t>Other lowland acid grassland</t>
  </si>
  <si>
    <t>Other neutral grassland</t>
  </si>
  <si>
    <t>Upland acid grassland</t>
  </si>
  <si>
    <t>Blackthorn scrub</t>
  </si>
  <si>
    <t>Bramble scrub</t>
  </si>
  <si>
    <t>Gorse scrub</t>
  </si>
  <si>
    <t>Hawthorn scrub</t>
  </si>
  <si>
    <t>Hazel scrub</t>
  </si>
  <si>
    <t>Mixed scrub</t>
  </si>
  <si>
    <t>Rhododendron scrub</t>
  </si>
  <si>
    <t>Sea buckthorn scrub (other)</t>
  </si>
  <si>
    <t>Ornamental lake or pond</t>
  </si>
  <si>
    <t>High</t>
  </si>
  <si>
    <t>Ponds (Non- Priority Habitat)</t>
  </si>
  <si>
    <t>Reservoirs</t>
  </si>
  <si>
    <t>Ruderal/Ephemeral</t>
  </si>
  <si>
    <t>Other inland rock and scree</t>
  </si>
  <si>
    <t>Allotments</t>
  </si>
  <si>
    <t>Artificial unvegetated, unsealed surface</t>
  </si>
  <si>
    <t>V.Low</t>
  </si>
  <si>
    <t>Compensation Not Required</t>
  </si>
  <si>
    <t>Bioswale</t>
  </si>
  <si>
    <t>Biodiverse green roof</t>
  </si>
  <si>
    <t>Built linear features</t>
  </si>
  <si>
    <t>Cemeteries and churchyards</t>
  </si>
  <si>
    <t>Developed land; sealed surface</t>
  </si>
  <si>
    <t>Intensive green roof</t>
  </si>
  <si>
    <t>Facade-bound green wall</t>
  </si>
  <si>
    <t>Ground based green wall</t>
  </si>
  <si>
    <t>Ground level planters</t>
  </si>
  <si>
    <t>Other green roof</t>
  </si>
  <si>
    <t>Introduced shrub</t>
  </si>
  <si>
    <t>Rain garden</t>
  </si>
  <si>
    <t>Sustainable urban drainage feature</t>
  </si>
  <si>
    <t>Un-vegetated garden</t>
  </si>
  <si>
    <t>Vacant/derelict land/ bareground</t>
  </si>
  <si>
    <t>Vegetated garden</t>
  </si>
  <si>
    <t>Other coniferous woodland</t>
  </si>
  <si>
    <t>Other Scot's Pine woodland</t>
  </si>
  <si>
    <t>Other woodland; broadleaved</t>
  </si>
  <si>
    <t>Other woodland; mixed</t>
  </si>
  <si>
    <t>Littoral coarse sediment</t>
  </si>
  <si>
    <t>Artificial saltmarshes and saline reedbeds</t>
  </si>
  <si>
    <t>Littoral sand</t>
  </si>
  <si>
    <t>Artificial hard structures</t>
  </si>
  <si>
    <t>Native Species Rich Hedgerow</t>
  </si>
  <si>
    <t>Native Hedgerow - Associated with bank or ditch</t>
  </si>
  <si>
    <t>Native Hedgerow with trees</t>
  </si>
  <si>
    <t>Native Hedgerow</t>
  </si>
  <si>
    <t>Hedge Ornamental Non Native</t>
  </si>
  <si>
    <t>Line of Trees</t>
  </si>
  <si>
    <t>Line of Trees (Ecologically Valuable)</t>
  </si>
  <si>
    <t>Line of Trees - Associated with bank or ditch</t>
  </si>
  <si>
    <t>Line of Trees (Ecologically Valuable) - with Bank or Ditch</t>
  </si>
  <si>
    <t>Ditches</t>
  </si>
  <si>
    <t>Rivers</t>
  </si>
  <si>
    <t>Canals</t>
  </si>
  <si>
    <t>Culvert</t>
  </si>
  <si>
    <t>Condition</t>
  </si>
  <si>
    <t>Temporal Multipliers</t>
  </si>
  <si>
    <t>Enhancement Rules</t>
  </si>
  <si>
    <t>Baseline Default Condition</t>
  </si>
  <si>
    <t>Creation Condition Options</t>
  </si>
  <si>
    <t>EnhancementDefault Condition</t>
  </si>
  <si>
    <t>Years To Target Condition Creation - Moderate</t>
  </si>
  <si>
    <t>Years To Target Condition Creation - Good</t>
  </si>
  <si>
    <t>Time To Target Condition Enhancement - Moderate to Good</t>
  </si>
  <si>
    <t>Time To Target Distinctivenss Enhancement - Low to Default Condition</t>
  </si>
  <si>
    <t>Good</t>
  </si>
  <si>
    <t>Enhancement not possible</t>
  </si>
  <si>
    <t>Not Possible</t>
  </si>
  <si>
    <t>Condition enhancement not possible, enhancement to any medium distinctiveness cropland habitat only</t>
  </si>
  <si>
    <t>Other lowland acid grassland, Other neutral grassland, Upland acid grassland</t>
  </si>
  <si>
    <t>Condition enhancement not possible, enhancement to any medium distinctiveness grassland habitat only</t>
  </si>
  <si>
    <t>Poor</t>
  </si>
  <si>
    <t>Condition enhancement only</t>
  </si>
  <si>
    <t>Moderate, Good</t>
  </si>
  <si>
    <t>Modified grassland, Other lowland acid grassland, Other neutral grassland, Upland acid grassland</t>
  </si>
  <si>
    <t>Condition enhancement or enhancement to any medium distinctiveness grassland habitat</t>
  </si>
  <si>
    <t>N/A - Other</t>
  </si>
  <si>
    <t>Brown roof</t>
  </si>
  <si>
    <t>Extensive green roof</t>
  </si>
  <si>
    <t>Sand pit quarry or open cast mine</t>
  </si>
  <si>
    <t>30+</t>
  </si>
  <si>
    <t>Condition enhancement or enhancement to any medium distinctiveness woodland</t>
  </si>
  <si>
    <t>Artificial littoral coarse sediment</t>
  </si>
  <si>
    <t>Artificial littoral mud</t>
  </si>
  <si>
    <t>Artificial littoral sand</t>
  </si>
  <si>
    <t>Artificial littoral muddy sand</t>
  </si>
  <si>
    <t>Artificial littoral mixed sediments</t>
  </si>
  <si>
    <t>Artificial littoral seagrass</t>
  </si>
  <si>
    <t>Artificial littoral biogenic reefs</t>
  </si>
  <si>
    <t>Condition enhancement or enhancement to any medium distinctiveness hedgerow</t>
  </si>
  <si>
    <t>Canals, Ditches</t>
  </si>
  <si>
    <t>Enhancement to Canal or Ditch</t>
  </si>
  <si>
    <t>Broadhabitattype</t>
  </si>
  <si>
    <t>Heathlandandshrub</t>
  </si>
  <si>
    <t>Intertidalhardstructures</t>
  </si>
  <si>
    <t>Intertidalsediment</t>
  </si>
  <si>
    <t>Sparselyvegetatedland</t>
  </si>
  <si>
    <t>Woodlandandforest</t>
  </si>
  <si>
    <t>Lineoftrees</t>
  </si>
  <si>
    <t>Linear features</t>
  </si>
  <si>
    <t>difficulty</t>
  </si>
  <si>
    <t>Strategic Significance</t>
  </si>
  <si>
    <t>category</t>
  </si>
  <si>
    <t>value</t>
  </si>
  <si>
    <t>Spatial  risk</t>
  </si>
  <si>
    <t>Street trees</t>
  </si>
  <si>
    <t>Description</t>
  </si>
  <si>
    <t>score</t>
  </si>
  <si>
    <t>strategic significance</t>
  </si>
  <si>
    <t>Multiplier</t>
  </si>
  <si>
    <t>Category</t>
  </si>
  <si>
    <t>Tree size</t>
  </si>
  <si>
    <t>Diameter M</t>
  </si>
  <si>
    <t>RPA Radius M</t>
  </si>
  <si>
    <t>RPA ha</t>
  </si>
  <si>
    <t>Local Authority List</t>
  </si>
  <si>
    <t>Application type</t>
  </si>
  <si>
    <t>Highly connected habitat</t>
  </si>
  <si>
    <t>Formally identified in local strategy</t>
  </si>
  <si>
    <t xml:space="preserve">High strategic significance </t>
  </si>
  <si>
    <t>Compensation inside LPA or NCA, or deemed to be sufficiently local, to site of biodiversity loss</t>
  </si>
  <si>
    <t>Small</t>
  </si>
  <si>
    <t>Adur and Worthing Borough Council</t>
  </si>
  <si>
    <t>Householder planning consent</t>
  </si>
  <si>
    <t>Moderately connected habitat</t>
  </si>
  <si>
    <t>Low Strategic Significance</t>
  </si>
  <si>
    <r>
      <t xml:space="preserve">Compensation </t>
    </r>
    <r>
      <rPr>
        <u/>
        <sz val="11"/>
        <rFont val="Calibri"/>
        <family val="2"/>
      </rPr>
      <t>outside</t>
    </r>
    <r>
      <rPr>
        <sz val="11"/>
        <rFont val="Calibri"/>
        <family val="2"/>
      </rPr>
      <t xml:space="preserve"> LPA or NCA of impact site but in neighbouring LPA or NCA</t>
    </r>
  </si>
  <si>
    <t>Adur District Council</t>
  </si>
  <si>
    <t>Full planning consent</t>
  </si>
  <si>
    <t>Unconnected habitat</t>
  </si>
  <si>
    <t>Very High</t>
  </si>
  <si>
    <r>
      <t xml:space="preserve">Compensation </t>
    </r>
    <r>
      <rPr>
        <u/>
        <sz val="11"/>
        <rFont val="Calibri"/>
        <family val="2"/>
      </rPr>
      <t>outside</t>
    </r>
    <r>
      <rPr>
        <sz val="11"/>
        <rFont val="Calibri"/>
        <family val="2"/>
      </rPr>
      <t xml:space="preserve"> LPA or NCA of impact site and beyond neighbouring LPA or NCA </t>
    </r>
  </si>
  <si>
    <t>Large</t>
  </si>
  <si>
    <t>Allerdale Borough Council</t>
  </si>
  <si>
    <t>Hybrid planning consent</t>
  </si>
  <si>
    <t>N/A</t>
  </si>
  <si>
    <t>Assessment not appropriate</t>
  </si>
  <si>
    <t>Amber Valley Borough Council</t>
  </si>
  <si>
    <t>Outline planning consent</t>
  </si>
  <si>
    <t>Arun District Council</t>
  </si>
  <si>
    <t>Reserved Matters</t>
  </si>
  <si>
    <t>Ashfield District Council</t>
  </si>
  <si>
    <t>Listed building consent</t>
  </si>
  <si>
    <t>Ashford Borough Council</t>
  </si>
  <si>
    <t>Advertisement consent</t>
  </si>
  <si>
    <t>Aylesbury Vale District Council</t>
  </si>
  <si>
    <t>Lawful Development Certificate (LDC)</t>
  </si>
  <si>
    <t>Babergh District Council</t>
  </si>
  <si>
    <t>Prior notification </t>
  </si>
  <si>
    <t>Distinctiveness categories</t>
  </si>
  <si>
    <t>Condition categories</t>
  </si>
  <si>
    <t>Temporal multipliers</t>
  </si>
  <si>
    <t>Barnsley Metropolitan Borough Council</t>
  </si>
  <si>
    <t>Removal/variation of conditions</t>
  </si>
  <si>
    <t>Distinctiveness Category</t>
  </si>
  <si>
    <t>Distinctiveness Score</t>
  </si>
  <si>
    <t>Suggested Action</t>
  </si>
  <si>
    <t>Condition Multiplier</t>
  </si>
  <si>
    <t>Condition Assessment Score</t>
  </si>
  <si>
    <t>Year</t>
  </si>
  <si>
    <t>% of original unit</t>
  </si>
  <si>
    <t>Time to target Multiplier</t>
  </si>
  <si>
    <t>Barrow-in-Furness Borough Council</t>
  </si>
  <si>
    <t>Approval of conditions</t>
  </si>
  <si>
    <t>Basildon Borough Council</t>
  </si>
  <si>
    <t>Consent under Tree Preservation Orders </t>
  </si>
  <si>
    <t>Basingstoke and Deane Borough Council</t>
  </si>
  <si>
    <t>Notification of proposed works to trees in conservation areas</t>
  </si>
  <si>
    <t>Bassetlaw District Council</t>
  </si>
  <si>
    <t>Application for non-material amendments</t>
  </si>
  <si>
    <t>Bath and North East Somerset Council</t>
  </si>
  <si>
    <t>Bedford Borough Council</t>
  </si>
  <si>
    <t>Birmingham City Council</t>
  </si>
  <si>
    <t>Blaby District Council</t>
  </si>
  <si>
    <t>Blackburn with Darwen Borough Council</t>
  </si>
  <si>
    <t>Blackpool Borough Council</t>
  </si>
  <si>
    <t>Blaenau Gwent County Borough Council</t>
  </si>
  <si>
    <t>Bolsover District Council</t>
  </si>
  <si>
    <t>Bolton Metropolitan Borough Council</t>
  </si>
  <si>
    <t>Borough of Broxbourne</t>
  </si>
  <si>
    <t>Borough of Poole</t>
  </si>
  <si>
    <t>Boston Borough Council</t>
  </si>
  <si>
    <t>Bournemouth Borough Council</t>
  </si>
  <si>
    <t>Bracknell Forest Council</t>
  </si>
  <si>
    <t>Bradford Metropolitan District Council</t>
  </si>
  <si>
    <t>Braintree District Council</t>
  </si>
  <si>
    <t>Breckland District Council</t>
  </si>
  <si>
    <t>Brentwood Borough Council</t>
  </si>
  <si>
    <t>Bridgend County Borough Council</t>
  </si>
  <si>
    <t>Brighton and Hove City Council</t>
  </si>
  <si>
    <t>Bristol City Council</t>
  </si>
  <si>
    <t>Broadland District Council</t>
  </si>
  <si>
    <t>Bromsgrove District Council</t>
  </si>
  <si>
    <t>Broxtowe Borough Council</t>
  </si>
  <si>
    <t>Buckinghamshire County Council</t>
  </si>
  <si>
    <t>Burnley Borough Council</t>
  </si>
  <si>
    <t>Bury Metropolitan Borough Council</t>
  </si>
  <si>
    <t>Caerphilly County Borough Council</t>
  </si>
  <si>
    <t>Calderdale Metropolitan Borough Council</t>
  </si>
  <si>
    <t>Cambridge City Council</t>
  </si>
  <si>
    <t>Cambridgeshire County Council</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</si>
  <si>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</si>
  <si>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</si>
  <si>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</si>
  <si>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</si>
  <si>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</si>
  <si>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</si>
  <si>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</si>
  <si>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</si>
  <si>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</si>
  <si>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City Council</t>
  </si>
  <si>
    <t>Cheltenham Borough Council</t>
  </si>
  <si>
    <t>Cherwell District Council</t>
  </si>
  <si>
    <t>Cheshire East Council (Unitary)</t>
  </si>
  <si>
    <t>Cheshire West and Chester Council</t>
  </si>
  <si>
    <t>Chesterfield Borough Council</t>
  </si>
  <si>
    <t>Chichester District Council</t>
  </si>
  <si>
    <t>Chiltern District Council</t>
  </si>
  <si>
    <t>Chorley Council</t>
  </si>
  <si>
    <t>Christchurch Borough Council</t>
  </si>
  <si>
    <t>City of Lincoln Council</t>
  </si>
  <si>
    <t>City of London</t>
  </si>
  <si>
    <t>City of York Council</t>
  </si>
  <si>
    <t>Colchester Borough Council</t>
  </si>
  <si>
    <t>Conwy County Borough Council</t>
  </si>
  <si>
    <t>Copeland Borough Council</t>
  </si>
  <si>
    <t>Corby Borough Council</t>
  </si>
  <si>
    <t>Cornwall Council (Unitary)</t>
  </si>
  <si>
    <t>Cotswold District Council</t>
  </si>
  <si>
    <t>Coventry City Council</t>
  </si>
  <si>
    <t>Craven District Council</t>
  </si>
  <si>
    <t>Crawley Borough Council</t>
  </si>
  <si>
    <t>Cumbria County Council</t>
  </si>
  <si>
    <t>Dacorum Council</t>
  </si>
  <si>
    <t>Darlington Borough Council</t>
  </si>
  <si>
    <t>Dartford Borough Council</t>
  </si>
  <si>
    <t>Daventry District Council</t>
  </si>
  <si>
    <t>Denbighshire County Council</t>
  </si>
  <si>
    <t>Derby City Council</t>
  </si>
  <si>
    <t>Derbyshire County Council</t>
  </si>
  <si>
    <t>Derbyshire Dales District Council</t>
  </si>
  <si>
    <t>Devon County Council</t>
  </si>
  <si>
    <t>Doncaster Metropolitan Borough Council</t>
  </si>
  <si>
    <t>Dorset County Council</t>
  </si>
  <si>
    <t>Dover District Council</t>
  </si>
  <si>
    <t>Dudley Metropolitan Borough Council</t>
  </si>
  <si>
    <t>Durham County Council</t>
  </si>
  <si>
    <t>East Cambridgeshire District Council</t>
  </si>
  <si>
    <t>East Devon District Council</t>
  </si>
  <si>
    <t>East Dorset District Council</t>
  </si>
  <si>
    <t>East Hampshire District Council</t>
  </si>
  <si>
    <t>East Hertfordshire District Council</t>
  </si>
  <si>
    <t>East Lindsey District Council</t>
  </si>
  <si>
    <t>East Northamptonshire Council</t>
  </si>
  <si>
    <t>East Riding of Yorkshire Council</t>
  </si>
  <si>
    <t>East Staffordshire Borough Council</t>
  </si>
  <si>
    <t>East Sussex County Council</t>
  </si>
  <si>
    <t>Eastbourne Borough Council</t>
  </si>
  <si>
    <t>Eastleigh Borough Council</t>
  </si>
  <si>
    <t>Eden District Council</t>
  </si>
  <si>
    <t>Elmbridge Borough Council</t>
  </si>
  <si>
    <t>Epping Forest District Council</t>
  </si>
  <si>
    <t>Epsom and Ewell Borough Council</t>
  </si>
  <si>
    <t>Erewash Borough Council</t>
  </si>
  <si>
    <t>Essex County Council</t>
  </si>
  <si>
    <t>Exeter City Council</t>
  </si>
  <si>
    <t>Fareham Borough Council</t>
  </si>
  <si>
    <t>Fenland District Council</t>
  </si>
  <si>
    <t>Flintshire County Council</t>
  </si>
  <si>
    <t>Forest Heath District Council</t>
  </si>
  <si>
    <t>Forest of Dean District Council</t>
  </si>
  <si>
    <t>Fylde Borough Council</t>
  </si>
  <si>
    <t>Gateshead Metropolitan Borough Council</t>
  </si>
  <si>
    <t>Gedling Borough Council</t>
  </si>
  <si>
    <t>Gloucester City Council</t>
  </si>
  <si>
    <t>Gloucestershire County Council</t>
  </si>
  <si>
    <t>Gosport Borough Council</t>
  </si>
  <si>
    <t>Gravesham Borough Council</t>
  </si>
  <si>
    <t>Great Yarmouth Borough Council</t>
  </si>
  <si>
    <t>Guildford Borough Council</t>
  </si>
  <si>
    <t>Gwynedd County Council</t>
  </si>
  <si>
    <t>Halton Borough Council</t>
  </si>
  <si>
    <t>Hambleton District Council</t>
  </si>
  <si>
    <t>Hampshire County Council</t>
  </si>
  <si>
    <t>Harborough District Council</t>
  </si>
  <si>
    <t>Harlow Council</t>
  </si>
  <si>
    <t>Harrogate Borough Council</t>
  </si>
  <si>
    <t>Hart District Council</t>
  </si>
  <si>
    <t>Hartlepool Borough Council</t>
  </si>
  <si>
    <t>Hastings Borough Council</t>
  </si>
  <si>
    <t>Havant Borough Council</t>
  </si>
  <si>
    <t>Herefordshire Council</t>
  </si>
  <si>
    <t>Hertfordshire County Council</t>
  </si>
  <si>
    <t>Hertsmere Borough Council</t>
  </si>
  <si>
    <t>High Peak Borough Council</t>
  </si>
  <si>
    <t>Hinckley and Bosworth Borough Council</t>
  </si>
  <si>
    <t>Horsham District Council</t>
  </si>
  <si>
    <t>Huntingdonshire District Council</t>
  </si>
  <si>
    <t>Hyndburn Borough Council</t>
  </si>
  <si>
    <t>Ipswich Borough Council</t>
  </si>
  <si>
    <t>Isle of Anglesey County Council</t>
  </si>
  <si>
    <t>Isle of Wight Council</t>
  </si>
  <si>
    <t>Isles of Scilly</t>
  </si>
  <si>
    <t>Kent County Council</t>
  </si>
  <si>
    <t>Kettering Borough Council</t>
  </si>
  <si>
    <t>King's Lynn and West Norfolk Borough Council</t>
  </si>
  <si>
    <t>Kingston-upon-Hull City Council</t>
  </si>
  <si>
    <t>Kirklees Council</t>
  </si>
  <si>
    <t>Knowsley Metropolitan Borough Council</t>
  </si>
  <si>
    <t>Lancashire County Council</t>
  </si>
  <si>
    <t>Lancaster City Council</t>
  </si>
  <si>
    <t>Leeds City Council</t>
  </si>
  <si>
    <t>Leicester City Council</t>
  </si>
  <si>
    <t>Leicestershire County Council</t>
  </si>
  <si>
    <t>Lewes District Council</t>
  </si>
  <si>
    <t>Lichfield District Council</t>
  </si>
  <si>
    <t>Lincolnshire County Council</t>
  </si>
  <si>
    <t>Liverpool City Council</t>
  </si>
  <si>
    <t>London Borough of Barking and Dagenham</t>
  </si>
  <si>
    <t>London Borough of Barnet</t>
  </si>
  <si>
    <t>London Borough of Bexley</t>
  </si>
  <si>
    <t>London Borough of Brent</t>
  </si>
  <si>
    <t>London Borough of Bromley</t>
  </si>
  <si>
    <t>London Borough of Camden</t>
  </si>
  <si>
    <t>London Borough of Croydon</t>
  </si>
  <si>
    <t>London Borough of Ealing</t>
  </si>
  <si>
    <t>London Borough of Enfield</t>
  </si>
  <si>
    <t>London Borough of Hackney</t>
  </si>
  <si>
    <t>London Borough of Hammersmith &amp;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</si>
  <si>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</si>
  <si>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</si>
  <si>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</si>
  <si>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</si>
  <si>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</si>
  <si>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</si>
  <si>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</si>
  <si>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</si>
  <si>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</si>
  <si>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</si>
  <si>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</si>
  <si>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Richmond upon Thames</t>
  </si>
  <si>
    <t>London Borough of Southwark</t>
  </si>
  <si>
    <t>London Borough of Sutton</t>
  </si>
  <si>
    <t>London Borough of Tower Hamlets</t>
  </si>
  <si>
    <t>London Borough of Waltham Forest</t>
  </si>
  <si>
    <t>London Borough of Wandsworth</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</si>
  <si>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</si>
  <si>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</si>
  <si>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</si>
  <si>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</si>
  <si>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</si>
  <si>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</si>
  <si>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</si>
  <si>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</si>
  <si>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</si>
  <si>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</si>
  <si>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Mid Devon District Council</t>
  </si>
  <si>
    <t>Mid Suffolk District Council</t>
  </si>
  <si>
    <t>Mid Sussex District Council</t>
  </si>
  <si>
    <t>Middlesbrough Borough Council</t>
  </si>
  <si>
    <t>Milton Keynes</t>
  </si>
  <si>
    <t>Mole Valley District Council</t>
  </si>
  <si>
    <t>Monmouthshire County Council</t>
  </si>
  <si>
    <t>Neath Port Talbot County Borough Council</t>
  </si>
  <si>
    <t>New Forest District Council</t>
  </si>
  <si>
    <t>Newark and Sherwood District Council</t>
  </si>
  <si>
    <t>Newcastle-Under-Lyme District Council</t>
  </si>
  <si>
    <t>Newport City Council</t>
  </si>
  <si>
    <t>Newcastle-upon-Tyne City Council</t>
  </si>
  <si>
    <t>Norfolk County Council</t>
  </si>
  <si>
    <t>North Devon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</si>
  <si>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</si>
  <si>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</si>
  <si>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</si>
  <si>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</si>
  <si>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</si>
  <si>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</si>
  <si>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</si>
  <si>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</si>
  <si>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</si>
  <si>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</si>
  <si>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</si>
  <si>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</si>
  <si>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</si>
  <si>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</si>
  <si>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Northumberland Council</t>
  </si>
  <si>
    <t>Norwich City Council</t>
  </si>
  <si>
    <t>Nottingham City Council</t>
  </si>
  <si>
    <t>Nottinghamshire County Council</t>
  </si>
  <si>
    <t>Nuneaton and Bedworth Borough Council</t>
  </si>
  <si>
    <t>Oadby and Wigston District Council</t>
  </si>
  <si>
    <t>Oldham Metropolitan Borough Council</t>
  </si>
  <si>
    <t>Oxford City Council</t>
  </si>
  <si>
    <t>Oxfordshire County Council</t>
  </si>
  <si>
    <t>Pembrokeshire County Council</t>
  </si>
  <si>
    <t>Pendle Borough Council</t>
  </si>
  <si>
    <t>Perth and Kinross Council</t>
  </si>
  <si>
    <t>Peterborough City Council</t>
  </si>
  <si>
    <t>Plymouth City Council</t>
  </si>
  <si>
    <t>Portsmouth City Council</t>
  </si>
  <si>
    <t>Powys County Council</t>
  </si>
  <si>
    <t>Preston City Council</t>
  </si>
  <si>
    <t>Purbeck District Council</t>
  </si>
  <si>
    <t>Reading Borough Council</t>
  </si>
  <si>
    <t>Redcar and Cleveland Council</t>
  </si>
  <si>
    <t>Redditch Borough Council</t>
  </si>
  <si>
    <t>Reigate &amp; Banstead Borough Council</t>
  </si>
  <si>
    <t>Rhondda Cynon Taf County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</si>
  <si>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</si>
  <si>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</si>
  <si>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</si>
  <si>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</si>
  <si>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</si>
  <si>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</si>
  <si>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</si>
  <si>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Royal Borough of Greenwich</t>
  </si>
  <si>
    <t>Royal Borough of Kensington and Chelsea</t>
  </si>
  <si>
    <t>Royal Borough of Kingston upon Thames</t>
  </si>
  <si>
    <t>Royal Borough of Windsor and Maidenhead</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</si>
  <si>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</si>
  <si>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</si>
  <si>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</si>
  <si>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</si>
  <si>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</si>
  <si>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</si>
  <si>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</si>
  <si>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</si>
  <si>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</si>
  <si>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</si>
  <si>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</si>
  <si>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</si>
  <si>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</si>
  <si>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</si>
  <si>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Shepway District Council</t>
  </si>
  <si>
    <t>Shropshire Council - Unitary</t>
  </si>
  <si>
    <t>Slough Borough Council</t>
  </si>
  <si>
    <t>Solihull Metropolitan Borough Council</t>
  </si>
  <si>
    <t>Somerset County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</si>
  <si>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</si>
  <si>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</si>
  <si>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</si>
  <si>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</si>
  <si>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</si>
  <si>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</si>
  <si>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</si>
  <si>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</si>
  <si>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</si>
  <si>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</si>
  <si>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</si>
  <si>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</si>
  <si>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</si>
  <si>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Council</t>
  </si>
  <si>
    <t>South Tyneside Council</t>
  </si>
  <si>
    <t>Southampton City Council</t>
  </si>
  <si>
    <t>Southend-on-Sea Borough Council</t>
  </si>
  <si>
    <t>Spelthorne Borough Council</t>
  </si>
  <si>
    <t>St Albans City and District Council</t>
  </si>
  <si>
    <t>St Edmundsbury Borough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</si>
  <si>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</si>
  <si>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</si>
  <si>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</si>
  <si>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</si>
  <si>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</si>
  <si>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</si>
  <si>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</si>
  <si>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</si>
  <si>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Strabane District Council</t>
  </si>
  <si>
    <t>Stratford-on-Avon District Council</t>
  </si>
  <si>
    <t>Stroud District Council</t>
  </si>
  <si>
    <t>Suffolk Coastal District Council</t>
  </si>
  <si>
    <t>Suffolk County Council</t>
  </si>
  <si>
    <t>Sunderland City Council</t>
  </si>
  <si>
    <t>Surrey County Council</t>
  </si>
  <si>
    <t>Surrey Heath Borough Council</t>
  </si>
  <si>
    <t>Swale Borough Council</t>
  </si>
  <si>
    <t>Swansea City and Borough Council</t>
  </si>
  <si>
    <t>Swindon Borough Council</t>
  </si>
  <si>
    <t>Tameside Metropolitan Borough Council</t>
  </si>
  <si>
    <t>Tamworth Borough Council</t>
  </si>
  <si>
    <t>Tandridge District Council</t>
  </si>
  <si>
    <t>Taunton Deane Borough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</si>
  <si>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</si>
  <si>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</si>
  <si>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</si>
  <si>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</si>
  <si>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</si>
  <si>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</si>
  <si>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</si>
  <si>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</si>
  <si>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</si>
  <si>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</si>
  <si>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Torfaen County Borough Council</t>
  </si>
  <si>
    <t>Torridge District Council</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</si>
  <si>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</si>
  <si>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</si>
  <si>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</si>
  <si>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</si>
  <si>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</si>
  <si>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</si>
  <si>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</si>
  <si>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Warrington Borough Council</t>
  </si>
  <si>
    <t>Warwick District Council</t>
  </si>
  <si>
    <t>Warwickshire County Council</t>
  </si>
  <si>
    <t>Watford Borough Council</t>
  </si>
  <si>
    <t>Waveney District Council</t>
  </si>
  <si>
    <t>Waverley Borough Council</t>
  </si>
  <si>
    <t>Wealden District Council</t>
  </si>
  <si>
    <t>Wellingborough Borough Council</t>
  </si>
  <si>
    <t>Welwyn Hatfield Council</t>
  </si>
  <si>
    <t>West Berkshire Council</t>
  </si>
  <si>
    <t>West Devon Borough Council</t>
  </si>
  <si>
    <t>West Dorset District Council</t>
  </si>
  <si>
    <t>West Lancashire Borough Council</t>
  </si>
  <si>
    <t>West Lindsey District Council</t>
  </si>
  <si>
    <t>West Oxfordshire District Council</t>
  </si>
  <si>
    <t>West Somerset District Council</t>
  </si>
  <si>
    <t>West Sussex County Council</t>
  </si>
  <si>
    <t>Westminster City Council</t>
  </si>
  <si>
    <t>Weymouth and Portland Borough Council</t>
  </si>
  <si>
    <t>Wigan Metropolitan Borough Council</t>
  </si>
  <si>
    <t>Wiltshire Council</t>
  </si>
  <si>
    <t>Winchester City Council</t>
  </si>
  <si>
    <t>Wirral Council</t>
  </si>
  <si>
    <t>Woking Borough Council</t>
  </si>
  <si>
    <t>Wokingham Borough Council</t>
  </si>
  <si>
    <t>Wolverhampton City Council</t>
  </si>
  <si>
    <t>Worcester City Council</t>
  </si>
  <si>
    <t>Worcestershire County Council</t>
  </si>
  <si>
    <t>Wrexham County Borough Council</t>
  </si>
  <si>
    <t>Wychavon District Council</t>
  </si>
  <si>
    <t>Wycombe District Council</t>
  </si>
  <si>
    <t>Wyre Council</t>
  </si>
  <si>
    <t>Wyre Forest District Council</t>
  </si>
  <si>
    <t>BNG Group</t>
  </si>
  <si>
    <t>Landsacpe Term</t>
  </si>
  <si>
    <t>Unique Landscape Term (inc. BNG Code)</t>
  </si>
  <si>
    <t>BNG Habitat</t>
  </si>
  <si>
    <t xml:space="preserve">Coastal saltmarsh </t>
  </si>
  <si>
    <t>Saltmarsh</t>
  </si>
  <si>
    <t>Saltmarsh - A2.5</t>
  </si>
  <si>
    <t>Saltmarshes and saline reedbeds</t>
  </si>
  <si>
    <t>Arable - c1c</t>
  </si>
  <si>
    <t>Arable - c1c7</t>
  </si>
  <si>
    <t>Cereal crops other</t>
  </si>
  <si>
    <t>Arable - c1d</t>
  </si>
  <si>
    <t>Arable - c1b</t>
  </si>
  <si>
    <t>Cropland margins</t>
  </si>
  <si>
    <t>Arable - c1a7</t>
  </si>
  <si>
    <t>Arable - c1a8</t>
  </si>
  <si>
    <t>Arable - c1a6</t>
  </si>
  <si>
    <t>Arable - c1a</t>
  </si>
  <si>
    <t>Arable - c1c5</t>
  </si>
  <si>
    <t>Horticulture - c1f</t>
  </si>
  <si>
    <t>Orchard</t>
  </si>
  <si>
    <t>Orchard - c1e</t>
  </si>
  <si>
    <t>grassland</t>
  </si>
  <si>
    <t>Amenity Grassland</t>
  </si>
  <si>
    <t>Amenity Grassland - g4</t>
  </si>
  <si>
    <t>Bracken - g1c</t>
  </si>
  <si>
    <t>Meadow Grassland</t>
  </si>
  <si>
    <t>Meadow Grassland - g1d</t>
  </si>
  <si>
    <t>Meadow Grassland - g3c</t>
  </si>
  <si>
    <t>Meadow Grassland - g1b</t>
  </si>
  <si>
    <t>Invasive Scrub</t>
  </si>
  <si>
    <t>Invasive Scrub - h3g</t>
  </si>
  <si>
    <t>Native Scrub</t>
  </si>
  <si>
    <t>Native Scrub - h3a</t>
  </si>
  <si>
    <t>Native Scrub - h3d</t>
  </si>
  <si>
    <t>Native Scrub - h3e</t>
  </si>
  <si>
    <t>Native Scrub - h3f</t>
  </si>
  <si>
    <t>Native Scrub - h3b</t>
  </si>
  <si>
    <t>Native Scrub - h3h</t>
  </si>
  <si>
    <t>Native Scrub - h3cNE2</t>
  </si>
  <si>
    <t>Native Hedge</t>
  </si>
  <si>
    <t>Native Hedge - h2NE5</t>
  </si>
  <si>
    <t>Native Hedge - h2NE2</t>
  </si>
  <si>
    <t>Native Hedge - h2NE9</t>
  </si>
  <si>
    <t>Native Hedge with Standard Trees</t>
  </si>
  <si>
    <t>Native Hedge with Standard Trees - h2NE4</t>
  </si>
  <si>
    <t>Native Hedge with Standard Trees - h2NE1</t>
  </si>
  <si>
    <t>Native Species Rich Hedgerow with trees</t>
  </si>
  <si>
    <t>Native Hedge with Standard Trees - h2NE8</t>
  </si>
  <si>
    <t>Native Hedgerow with trees - Associated with bank or ditch</t>
  </si>
  <si>
    <t>Ornamental Hedge</t>
  </si>
  <si>
    <t>Ornamental Hedge - h2NE3</t>
  </si>
  <si>
    <t>Standard Trees</t>
  </si>
  <si>
    <t>Standard Trees - w1g6NE4</t>
  </si>
  <si>
    <t>Standard Trees - w1g6NE2</t>
  </si>
  <si>
    <t>Standard Trees - w1g6NE1</t>
  </si>
  <si>
    <t>Standard Trees - w1g6NE3</t>
  </si>
  <si>
    <t>INTERTIDAL TBC</t>
  </si>
  <si>
    <t>INTERTIDAL TBC - ART_A1.4</t>
  </si>
  <si>
    <t>Artificial features of hard structures</t>
  </si>
  <si>
    <t>low</t>
  </si>
  <si>
    <t>INTERTIDAL TBC - ART_A1</t>
  </si>
  <si>
    <t>INTERTIDAL TBC - ART_A1_IGGI</t>
  </si>
  <si>
    <t>Artificial hard structures with Integrated Greening of Grey Infrastructure (IGGI)</t>
  </si>
  <si>
    <t>INTERTIDAL TBC - ART_A2.7</t>
  </si>
  <si>
    <t>INTERTIDAL TBC - ART_A2.1</t>
  </si>
  <si>
    <t>INTERTIDAL TBC - ART_A2.4</t>
  </si>
  <si>
    <t>INTERTIDAL TBC - ART_A2.3</t>
  </si>
  <si>
    <t>INTERTIDAL TBC - ART_A2.24</t>
  </si>
  <si>
    <t>INTERTIDAL TBC - ART_A2.21</t>
  </si>
  <si>
    <t>INTERTIDAL TBC - ART_A2.6</t>
  </si>
  <si>
    <t>INTERTIDAL TBC - A2.4</t>
  </si>
  <si>
    <t>Littoral mixed sediments</t>
  </si>
  <si>
    <t>INTERTIDAL TBC - A2.24</t>
  </si>
  <si>
    <t>Littoral muddy sand</t>
  </si>
  <si>
    <t>INTERTIDAL TBC - A2.21</t>
  </si>
  <si>
    <t>Reservoirs - 108</t>
  </si>
  <si>
    <t>Wildlfe Pond</t>
  </si>
  <si>
    <t>Wildlfe Pond - r1b</t>
  </si>
  <si>
    <t>Rivers &amp; Streams</t>
  </si>
  <si>
    <t>Canal</t>
  </si>
  <si>
    <t>Canal - r1eNE1</t>
  </si>
  <si>
    <t>Culvert - rNE1</t>
  </si>
  <si>
    <t>Ditch</t>
  </si>
  <si>
    <t>Ditch - r1eNE2</t>
  </si>
  <si>
    <t>Ruderals</t>
  </si>
  <si>
    <t>Ruderals - 17</t>
  </si>
  <si>
    <t>Scree</t>
  </si>
  <si>
    <t>Scree - s1d</t>
  </si>
  <si>
    <t>Allotments - 910</t>
  </si>
  <si>
    <t>Bareground</t>
  </si>
  <si>
    <t>Bareground - 350</t>
  </si>
  <si>
    <t>Biodiverse Roof</t>
  </si>
  <si>
    <t>Biodiverse Roof - 1113</t>
  </si>
  <si>
    <t>Bioswale - 1191</t>
  </si>
  <si>
    <t>Cemetery</t>
  </si>
  <si>
    <t>Cemetery - 800</t>
  </si>
  <si>
    <t>Garden</t>
  </si>
  <si>
    <t>Garden - 231</t>
  </si>
  <si>
    <t>Garden - 232</t>
  </si>
  <si>
    <t>Green Roof</t>
  </si>
  <si>
    <t>Green Roof - 1111</t>
  </si>
  <si>
    <t>Green Roof - Sedum</t>
  </si>
  <si>
    <t>Green Roof - Sedum - 1112</t>
  </si>
  <si>
    <t>Green Wall</t>
  </si>
  <si>
    <t>Green Wall - 1122</t>
  </si>
  <si>
    <t>Green Wall - 1121</t>
  </si>
  <si>
    <t>Impermeable Hardscape</t>
  </si>
  <si>
    <t>Impermeable Hardscape - u1b</t>
  </si>
  <si>
    <t>Ornamental Pond</t>
  </si>
  <si>
    <t>Ornamental Pond - 362</t>
  </si>
  <si>
    <t>Ornamental Shrub Planting</t>
  </si>
  <si>
    <t>Ornamental Shrub Planting - 1160</t>
  </si>
  <si>
    <t>Permeable Hardscape</t>
  </si>
  <si>
    <t>Permeable Hardscape - u1c</t>
  </si>
  <si>
    <t>Planters</t>
  </si>
  <si>
    <t>Planters - 1140</t>
  </si>
  <si>
    <t>Quarry</t>
  </si>
  <si>
    <t>Quarry - 1030</t>
  </si>
  <si>
    <t>Standard Tree</t>
  </si>
  <si>
    <t>Standard Tree - 1170</t>
  </si>
  <si>
    <t>SUDS</t>
  </si>
  <si>
    <t>SUDS - 1192</t>
  </si>
  <si>
    <t>SUDS - 1119</t>
  </si>
  <si>
    <t>Wall</t>
  </si>
  <si>
    <t>Wall - u1e</t>
  </si>
  <si>
    <t>Conifer Woodland</t>
  </si>
  <si>
    <t>Conifer Woodland - w2c</t>
  </si>
  <si>
    <t>Conifer Woodland - w2b</t>
  </si>
  <si>
    <t>Native Broadleaved Woodland</t>
  </si>
  <si>
    <t>Native Broadleaved Woodland - w1g</t>
  </si>
  <si>
    <t>Native Mixed Woodland</t>
  </si>
  <si>
    <t>Native Mixed Woodland - w1h</t>
  </si>
  <si>
    <t>Small -DBH ≤ 30cm</t>
  </si>
  <si>
    <t>Large - DBH &gt; 90cm</t>
  </si>
  <si>
    <t>Other green roof, Biodiverse green roof</t>
  </si>
  <si>
    <t>Hedges Distinctiveness categories</t>
  </si>
  <si>
    <t>Actively worked sand pit quarry or open cast mine</t>
  </si>
  <si>
    <t>Area enhanced</t>
  </si>
  <si>
    <t>Baseline value of area enhanced</t>
  </si>
  <si>
    <t>Option number</t>
  </si>
  <si>
    <t>Area/compensation not in local strategy/ no local strategy</t>
  </si>
  <si>
    <t>Years To Target Condition Creation - Poor</t>
  </si>
  <si>
    <t>Years To Target Condition Creation - N/A Other</t>
  </si>
  <si>
    <t>Other Scot's pine woodland</t>
  </si>
  <si>
    <t>Years To Target Condition Creation - Condition assessment N/A</t>
  </si>
  <si>
    <t>Condition Assessment N/A</t>
  </si>
  <si>
    <t>Area retained</t>
  </si>
  <si>
    <t xml:space="preserve">C. Number of trees enhanced </t>
  </si>
  <si>
    <t>B. Number of trees retained (but not enhanced)</t>
  </si>
  <si>
    <t>Arable field margins pollen and nectar</t>
  </si>
  <si>
    <t>Winter stubble</t>
  </si>
  <si>
    <t>Other sea buckthorn scrub</t>
  </si>
  <si>
    <t>Ponds (non-priority habitat)</t>
  </si>
  <si>
    <t>Sustainable drainage system</t>
  </si>
  <si>
    <t>Unvegetated garden</t>
  </si>
  <si>
    <t>Vacant or derelict land</t>
  </si>
  <si>
    <t>Species-rich native hedgerow</t>
  </si>
  <si>
    <t>Native hedgerow - associated with bank or ditch</t>
  </si>
  <si>
    <t>Native hedgerow with trees</t>
  </si>
  <si>
    <t>Native hedgerow</t>
  </si>
  <si>
    <t>Non-native and ornamental hedgerow</t>
  </si>
  <si>
    <t>Willow scrub</t>
  </si>
  <si>
    <t>Tall forbs</t>
  </si>
  <si>
    <t>Bare ground</t>
  </si>
  <si>
    <t>Ecologically valuable line of trees</t>
  </si>
  <si>
    <t>Line of trees - associated with bank or ditch</t>
  </si>
  <si>
    <t>Ecologically valuable line of trees - associated with bank or ditch</t>
  </si>
  <si>
    <t>Blackthorn scrub, Gorse scrub, Hawthorn scrub, Hazel scrub, Mixed scrub, Willow scrub</t>
  </si>
  <si>
    <t>Other Scot's pine woodland, Other woodland; broadleaved, Other woodland; mixed</t>
  </si>
  <si>
    <t>Native hedgerow, Species-rich native hedgerow, Native hedgerow - associated with bank or ditch, Native hedgerow with trees</t>
  </si>
  <si>
    <t>Individual trees</t>
  </si>
  <si>
    <t>Urban/rural tree</t>
  </si>
  <si>
    <t>Baseline Units</t>
  </si>
  <si>
    <t>Post-development Units</t>
  </si>
  <si>
    <t>Chart 1 - Unit change by habitat group</t>
  </si>
  <si>
    <t>Hedgerows and Lines of trees</t>
  </si>
  <si>
    <t>Arable field margins cultivated annually, Arable field margins game bird mix, Arable field margins pollen and nectar, Arable field margins tussocky</t>
  </si>
  <si>
    <t>Enhancement Habitat options</t>
  </si>
  <si>
    <t>Total Units</t>
  </si>
  <si>
    <t>Artificial hard structures with integrated greening of grey infrastructure (IGGI)</t>
  </si>
  <si>
    <t>Intertidal hard structures</t>
  </si>
  <si>
    <t>Coastal saltmarsh</t>
  </si>
  <si>
    <t>Ornamental lake or pond, Ponds (non-priority habitat)</t>
  </si>
  <si>
    <t>HedgerowsandLinesoftrees</t>
  </si>
  <si>
    <t>Coastalsaltmarsh</t>
  </si>
  <si>
    <t>Individualtrees</t>
  </si>
  <si>
    <t>Condition enhancement possible, enhancement to Other green roof and Biodiverse green roof</t>
  </si>
  <si>
    <t>Existing Habitat Type</t>
  </si>
  <si>
    <t>Like for like or better</t>
  </si>
  <si>
    <t>Restore</t>
  </si>
  <si>
    <t>Title cell</t>
  </si>
  <si>
    <t>Error</t>
  </si>
  <si>
    <t>▲</t>
  </si>
  <si>
    <t>⚠</t>
  </si>
  <si>
    <t>Attention required</t>
  </si>
  <si>
    <t xml:space="preserve">Use of this cell is not required </t>
  </si>
  <si>
    <t>10a. Habitat</t>
  </si>
  <si>
    <t>10b. Hedgerow</t>
  </si>
  <si>
    <t>10c. River</t>
  </si>
  <si>
    <t>11a. Habitat units</t>
  </si>
  <si>
    <t>11b. Hedgerow units</t>
  </si>
  <si>
    <t>11c. River units</t>
  </si>
  <si>
    <t>21. Information sources used for assessment of designated sites and priority habitats
(See guidance)</t>
  </si>
  <si>
    <t>24. Who completed the walkover? 
(Name and job title)</t>
  </si>
  <si>
    <t>25. Any additional information or notes</t>
  </si>
  <si>
    <t>Insert photographs to support assumptions made in the metric</t>
  </si>
  <si>
    <r>
      <rPr>
        <b/>
        <u/>
        <sz val="14"/>
        <color theme="1"/>
        <rFont val="Calibri"/>
        <family val="2"/>
        <scheme val="minor"/>
      </rPr>
      <t>Instructions:</t>
    </r>
    <r>
      <rPr>
        <sz val="11"/>
        <color theme="1"/>
        <rFont val="Calibri"/>
        <family val="2"/>
        <scheme val="minor"/>
      </rPr>
      <t xml:space="preserve">
1. Enter data into 1a. Baseline habitats table 
2. Enter data on habitats to be created into 1b. Habitats to be created
3. Enter data on habitats to be enhanced into 1c. Habitats to be enhanced 
4. Enter data on individual trees into 1d. Tree area calculator
</t>
    </r>
  </si>
  <si>
    <t>1d.  - Tree area calculator</t>
  </si>
  <si>
    <r>
      <rPr>
        <b/>
        <u/>
        <sz val="14"/>
        <color theme="1"/>
        <rFont val="Calibri"/>
        <family val="2"/>
        <scheme val="minor"/>
      </rPr>
      <t xml:space="preserve">Instructions:
</t>
    </r>
    <r>
      <rPr>
        <sz val="11"/>
        <color theme="1"/>
        <rFont val="Calibri"/>
        <family val="2"/>
        <scheme val="minor"/>
      </rPr>
      <t xml:space="preserve">
1. Enter data into 1a. Baseline habitats
2. Enter data on habitats to be created into 1b. Habitats to be created
3. Enter data on Habitats to be enhanced into 1c. Habitats to be enhanced
</t>
    </r>
  </si>
  <si>
    <t>5. Area Habitats</t>
  </si>
  <si>
    <t>6. Hedges &amp; Lines of Trees</t>
  </si>
  <si>
    <t>7. Watercourses</t>
  </si>
  <si>
    <t>9. All Habitats + Multipliers - (general technical information for reference purposes only)</t>
  </si>
  <si>
    <t>10. Condition and Temporal - general technical information for refence purposes only)</t>
  </si>
  <si>
    <t>Title cell alt colour</t>
  </si>
  <si>
    <t>Other</t>
  </si>
  <si>
    <t>March 2023</t>
  </si>
  <si>
    <t>ISBN: 978-1-7393388-0-0</t>
  </si>
  <si>
    <r>
      <rPr>
        <b/>
        <u/>
        <sz val="14"/>
        <color theme="1"/>
        <rFont val="Calibri"/>
        <family val="2"/>
        <scheme val="minor"/>
      </rPr>
      <t xml:space="preserve">Instructions:
</t>
    </r>
    <r>
      <rPr>
        <sz val="11"/>
        <color theme="1"/>
        <rFont val="Calibri"/>
        <family val="2"/>
        <scheme val="minor"/>
      </rPr>
      <t xml:space="preserve">
1. Enter data into 1a. Baseline habitats 
2. Enter data on habitats to be created into 1b. Habitats to be created
3. Enter data on habitats to be enhanced into 1c. Habitats to be enhanced
</t>
    </r>
  </si>
  <si>
    <t>Length Enhanced (m)</t>
  </si>
  <si>
    <t>E. Total Length created (m)</t>
  </si>
  <si>
    <t>Length (m)</t>
  </si>
  <si>
    <t>Condition enhancement not possible, enhancement to any medium distinctiveness habitat in heathland or shrub habitat only</t>
  </si>
  <si>
    <t>Condition enhancement or rnhancement to non-priority pond only</t>
  </si>
  <si>
    <t>Condition enhancement not possible, enhancement to Sparsely vegetated land - other inland rock and scree only</t>
  </si>
  <si>
    <t>Condition enhancement or enhancement to an ecologically valuable line of treess or any medium distinctiveness hedgerow - i.e should retain trees</t>
  </si>
  <si>
    <t>Condition enhancement or enhance to an Ecologically valuable line of trees - associated with bank or ditch</t>
  </si>
  <si>
    <t xml:space="preserve"> Native hedgerow with trees, Line of trees, Line of trees - associated with bank or ditch</t>
  </si>
  <si>
    <t>Not possible</t>
  </si>
  <si>
    <t xml:space="preserve">Ecologically valuable line of trees, Ecologically valuable line of trees - associated with bank or ditch, </t>
  </si>
  <si>
    <t>Ecologically valuable line of trees - associated with bank or ditch,</t>
  </si>
  <si>
    <t xml:space="preserve"> Line of trees - associated with bank or ditch</t>
  </si>
  <si>
    <t>Site Name</t>
  </si>
  <si>
    <r>
      <t>E. Total Area  (m</t>
    </r>
    <r>
      <rPr>
        <b/>
        <vertAlign val="superscript"/>
        <sz val="12"/>
        <color theme="0"/>
        <rFont val="Calibri"/>
        <family val="2"/>
        <scheme val="minor"/>
      </rPr>
      <t>2</t>
    </r>
    <r>
      <rPr>
        <b/>
        <sz val="12"/>
        <color theme="0"/>
        <rFont val="Calibri"/>
        <family val="2"/>
        <scheme val="minor"/>
      </rPr>
      <t>)</t>
    </r>
  </si>
  <si>
    <r>
      <t>Areas (m</t>
    </r>
    <r>
      <rPr>
        <b/>
        <vertAlign val="superscript"/>
        <sz val="12"/>
        <color theme="0"/>
        <rFont val="Calibri"/>
        <family val="2"/>
        <scheme val="minor"/>
      </rPr>
      <t>2</t>
    </r>
    <r>
      <rPr>
        <b/>
        <sz val="12"/>
        <color theme="0"/>
        <rFont val="Calibri"/>
        <family val="2"/>
        <scheme val="minor"/>
      </rPr>
      <t>)</t>
    </r>
  </si>
  <si>
    <t>Medium - DBH &gt; 30 to ≤ 90cm</t>
  </si>
  <si>
    <t>Units created on-site</t>
  </si>
  <si>
    <t xml:space="preserve">Small Sites Metric 
(Biodiversity Metric 4.0) </t>
  </si>
  <si>
    <t>North Northamptonshire District Council</t>
  </si>
  <si>
    <t>Land to Rear of 32 Church Street, Weldon</t>
  </si>
  <si>
    <t>Alpine Planning Ltd</t>
  </si>
  <si>
    <t>James Hodson- Senior Ecologist</t>
  </si>
  <si>
    <t>V1</t>
  </si>
  <si>
    <t>280/001</t>
  </si>
  <si>
    <t>Residential</t>
  </si>
  <si>
    <t>Between 1 - 9 dwellings</t>
  </si>
  <si>
    <t>Within 500m of site boundary</t>
  </si>
  <si>
    <t>No</t>
  </si>
  <si>
    <t>Broadleaved Deciduous Woodland</t>
  </si>
  <si>
    <t>Magic.gov.uk and NBRC</t>
  </si>
  <si>
    <t>Walkover completed by qualified ecologist</t>
  </si>
  <si>
    <t>Area of vegetated garden to rear of dwelling and sparsely vegetated garden land beneath tree canopies</t>
  </si>
  <si>
    <t>Area of new modified grassland around house seeded with Germinality WFG20</t>
  </si>
  <si>
    <t>Introduced ornamenral shurbs at garden entrance</t>
  </si>
  <si>
    <t>Area of new driveway</t>
  </si>
  <si>
    <t>Footprint of dweling, garage and patio/paths</t>
  </si>
  <si>
    <t>Dwelling to have a Sedum based green roof with additional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</si>
</sst>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000"/>
    <numFmt numFmtId="166" formatCode="_-&quot;£&quot;* #,##0_-;\-&quot;£&quot;* #,##0_-;_-&quot;£&quot;* &quot;-&quot;??_-;_-@_-"/>
    <numFmt numFmtId="167" formatCode="0.00000"/>
    <numFmt numFmtId="168" formatCode="[$-F800]dddd\,\ mmmm\ dd\,\ yyyy"/>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sz val="10"/>
      <name val="Arial"/>
      <family val="2"/>
    </font>
    <font>
      <b/>
      <sz val="24"/>
      <color theme="1"/>
      <name val="Calibri"/>
      <family val="2"/>
      <scheme val="minor"/>
    </font>
    <font>
      <i/>
      <sz val="14"/>
      <color rgb="FFFFFFFF"/>
      <name val="Calibri"/>
      <family val="2"/>
      <scheme val="minor"/>
    </font>
    <font>
      <b/>
      <sz val="22"/>
      <color theme="1"/>
      <name val="Calibri"/>
      <family val="2"/>
      <scheme val="minor"/>
    </font>
    <font>
      <b/>
      <sz val="12"/>
      <name val="Calibri"/>
      <family val="2"/>
      <scheme val="minor"/>
    </font>
    <font>
      <b/>
      <sz val="12"/>
      <color theme="0"/>
      <name val="Calibri"/>
      <family val="2"/>
      <scheme val="minor"/>
    </font>
    <font>
      <sz val="11"/>
      <color theme="1"/>
      <name val="Calibri"/>
      <family val="2"/>
      <scheme val="minor"/>
    </font>
    <font>
      <b/>
      <sz val="11"/>
      <color theme="0"/>
      <name val="Calibri"/>
      <family val="2"/>
      <scheme val="minor"/>
    </font>
    <font>
      <sz val="11"/>
      <name val="Calibri"/>
      <family val="2"/>
    </font>
    <font>
      <u/>
      <sz val="11"/>
      <name val="Calibri"/>
      <family val="2"/>
    </font>
    <font>
      <b/>
      <sz val="14"/>
      <color rgb="FFFFFFFF"/>
      <name val="Calibri"/>
      <family val="2"/>
      <scheme val="minor"/>
    </font>
    <font>
      <sz val="12"/>
      <color theme="1"/>
      <name val="Calibri"/>
      <family val="2"/>
      <scheme val="minor"/>
    </font>
    <font>
      <sz val="14"/>
      <color theme="1"/>
      <name val="Calibri"/>
      <family val="2"/>
      <scheme val="minor"/>
    </font>
    <font>
      <sz val="12"/>
      <color theme="1"/>
      <name val="Arial"/>
      <family val="2"/>
    </font>
    <font>
      <sz val="8"/>
      <name val="Calibri"/>
      <family val="2"/>
      <scheme val="minor"/>
    </font>
    <font>
      <b/>
      <sz val="14"/>
      <color theme="0"/>
      <name val="Calibri"/>
      <family val="2"/>
      <scheme val="minor"/>
    </font>
    <font>
      <b/>
      <i/>
      <sz val="14"/>
      <color rgb="FFFFFFFF"/>
      <name val="Calibri"/>
      <family val="2"/>
      <scheme val="minor"/>
    </font>
    <font>
      <b/>
      <sz val="14"/>
      <name val="Calibri"/>
      <family val="2"/>
      <scheme val="minor"/>
    </font>
    <font>
      <sz val="12"/>
      <name val="Calibri"/>
      <family val="2"/>
      <scheme val="minor"/>
    </font>
    <font>
      <b/>
      <sz val="28"/>
      <color theme="1"/>
      <name val="Calibri"/>
      <family val="2"/>
      <scheme val="minor"/>
    </font>
    <font>
      <sz val="12"/>
      <color theme="0"/>
      <name val="Calibri"/>
      <family val="2"/>
      <scheme val="minor"/>
    </font>
    <font>
      <b/>
      <sz val="20"/>
      <color theme="1"/>
      <name val="Calibri"/>
      <family val="2"/>
      <scheme val="minor"/>
    </font>
    <font>
      <sz val="11"/>
      <color rgb="FF9C5700"/>
      <name val="Calibri"/>
      <family val="2"/>
      <scheme val="minor"/>
    </font>
    <font>
      <sz val="11"/>
      <color theme="0"/>
      <name val="Calibri"/>
      <family val="2"/>
      <scheme val="minor"/>
    </font>
    <font>
      <b/>
      <vertAlign val="superscript"/>
      <sz val="14"/>
      <color theme="0"/>
      <name val="Calibri"/>
      <family val="2"/>
      <scheme val="minor"/>
    </font>
    <font>
      <sz val="14"/>
      <color rgb="FF9C5700"/>
      <name val="Calibri"/>
      <family val="2"/>
      <scheme val="minor"/>
    </font>
    <font>
      <b/>
      <sz val="11"/>
      <color theme="0"/>
      <name val="Calibri"/>
      <family val="2"/>
    </font>
    <font>
      <b/>
      <sz val="22"/>
      <color theme="0"/>
      <name val="Calibri"/>
      <family val="2"/>
      <scheme val="minor"/>
    </font>
    <font>
      <sz val="12"/>
      <color rgb="FFFF0000"/>
      <name val="Calibri"/>
      <family val="2"/>
      <scheme val="minor"/>
    </font>
    <font>
      <b/>
      <sz val="12"/>
      <color theme="1"/>
      <name val="Calibri"/>
      <family val="2"/>
      <scheme val="minor"/>
    </font>
    <font>
      <b/>
      <u/>
      <sz val="16"/>
      <color theme="1"/>
      <name val="Calibri"/>
      <family val="2"/>
      <scheme val="minor"/>
    </font>
    <font>
      <u/>
      <sz val="11"/>
      <color theme="1"/>
      <name val="Calibri"/>
      <family val="2"/>
      <scheme val="minor"/>
    </font>
    <font>
      <sz val="11"/>
      <color theme="4" tint="0.39997558519241921"/>
      <name val="Calibri"/>
      <family val="2"/>
      <scheme val="minor"/>
    </font>
    <font>
      <sz val="10"/>
      <color theme="1"/>
      <name val="Arial"/>
      <family val="2"/>
    </font>
    <font>
      <sz val="11"/>
      <color rgb="FFF2F0D9"/>
      <name val="Calibri"/>
      <family val="2"/>
      <scheme val="minor"/>
    </font>
    <font>
      <b/>
      <u/>
      <sz val="14"/>
      <color theme="1"/>
      <name val="Calibri"/>
      <family val="2"/>
      <scheme val="minor"/>
    </font>
    <font>
      <b/>
      <sz val="11"/>
      <color rgb="FFF2F0D9"/>
      <name val="Calibri"/>
      <family val="2"/>
      <scheme val="minor"/>
    </font>
    <font>
      <b/>
      <sz val="10"/>
      <color theme="0"/>
      <name val="Arial"/>
      <family val="2"/>
    </font>
    <font>
      <b/>
      <sz val="11"/>
      <color rgb="FFFF0000"/>
      <name val="Calibri"/>
      <family val="2"/>
      <scheme val="minor"/>
    </font>
    <font>
      <sz val="11"/>
      <color theme="1"/>
      <name val="Abadi Extra Light"/>
      <family val="2"/>
      <charset val="1"/>
    </font>
    <font>
      <b/>
      <vertAlign val="superscript"/>
      <sz val="12"/>
      <color theme="0"/>
      <name val="Calibri"/>
      <family val="2"/>
      <scheme val="minor"/>
    </font>
  </fonts>
  <fills count="3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2F0D9"/>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rgb="FFFFEB9C"/>
      </patternFill>
    </fill>
    <fill>
      <patternFill patternType="solid">
        <fgColor theme="7" tint="0.59999389629810485"/>
        <bgColor indexed="64"/>
      </patternFill>
    </fill>
    <fill>
      <patternFill patternType="solid">
        <fgColor rgb="FFFF5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005E5C"/>
        <bgColor indexed="64"/>
      </patternFill>
    </fill>
    <fill>
      <patternFill patternType="solid">
        <fgColor rgb="FFFFDDFF"/>
        <bgColor indexed="64"/>
      </patternFill>
    </fill>
    <fill>
      <patternFill patternType="solid">
        <fgColor rgb="FFFFFF99"/>
        <bgColor indexed="64"/>
      </patternFill>
    </fill>
    <fill>
      <patternFill patternType="solid">
        <fgColor rgb="FFE2C4A6"/>
        <bgColor indexed="64"/>
      </patternFill>
    </fill>
    <fill>
      <patternFill patternType="solid">
        <fgColor rgb="FFC00000"/>
        <bgColor indexed="64"/>
      </patternFill>
    </fill>
    <fill>
      <patternFill patternType="solid">
        <fgColor rgb="FF305496"/>
        <bgColor indexed="64"/>
      </patternFill>
    </fill>
    <fill>
      <patternFill patternType="solid">
        <fgColor rgb="FFFFC000"/>
        <bgColor indexed="64"/>
      </patternFill>
    </fill>
    <fill>
      <patternFill patternType="solid">
        <fgColor rgb="FFF2F2F2"/>
        <bgColor indexed="64"/>
      </patternFill>
    </fill>
    <fill>
      <patternFill patternType="solid">
        <fgColor rgb="FF7B7B7B"/>
        <bgColor indexed="64"/>
      </patternFill>
    </fill>
    <fill>
      <patternFill patternType="solid">
        <fgColor rgb="FFBDD7EE"/>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auto="1"/>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medium">
        <color indexed="64"/>
      </right>
      <top style="thin">
        <color indexed="64"/>
      </top>
      <bottom/>
      <diagonal/>
    </border>
  </borders>
  <cellStyleXfs count="33">
    <xf numFmtId="0" fontId="0"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13" fillId="0" borderId="0"/>
    <xf numFmtId="0" fontId="7" fillId="0" borderId="0"/>
    <xf numFmtId="0" fontId="7" fillId="0" borderId="0"/>
    <xf numFmtId="0" fontId="2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9" fillId="15"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3" fillId="0" borderId="0" applyFont="0" applyFill="0" applyBorder="0" applyAlignment="0" applyProtection="0"/>
  </cellStyleXfs>
  <cellXfs count="951">
    <xf numFmtId="0" fontId="0" fillId="0" borderId="0" xfId="0"/>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4" borderId="29"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0" borderId="16" xfId="0" applyBorder="1" applyAlignment="1" applyProtection="1">
      <alignment horizontal="center" vertical="center" wrapText="1"/>
      <protection locked="0"/>
    </xf>
    <xf numFmtId="0" fontId="0" fillId="0" borderId="18" xfId="0" applyBorder="1" applyAlignment="1">
      <alignment horizontal="center" vertical="center"/>
    </xf>
    <xf numFmtId="0" fontId="0" fillId="4" borderId="16" xfId="0" applyFill="1" applyBorder="1" applyAlignment="1" applyProtection="1">
      <alignment horizontal="left" vertical="top" wrapText="1"/>
      <protection locked="0"/>
    </xf>
    <xf numFmtId="0" fontId="0" fillId="0" borderId="18" xfId="0" applyBorder="1" applyAlignment="1">
      <alignment horizontal="center" vertical="center" wrapText="1"/>
    </xf>
    <xf numFmtId="165" fontId="0" fillId="0" borderId="18" xfId="0" applyNumberFormat="1" applyBorder="1" applyAlignment="1">
      <alignment horizontal="center" vertical="center"/>
    </xf>
    <xf numFmtId="0" fontId="0" fillId="3" borderId="0" xfId="0" applyFill="1"/>
    <xf numFmtId="0" fontId="0" fillId="0" borderId="2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5" fillId="0" borderId="18" xfId="0" applyFont="1" applyBorder="1" applyAlignment="1">
      <alignment horizontal="center" vertical="center" wrapText="1"/>
    </xf>
    <xf numFmtId="17" fontId="0" fillId="0" borderId="18" xfId="0" applyNumberFormat="1" applyBorder="1" applyAlignment="1">
      <alignment horizontal="center" vertical="center" wrapText="1"/>
    </xf>
    <xf numFmtId="0" fontId="0" fillId="0" borderId="0" xfId="0" applyAlignment="1">
      <alignment wrapText="1"/>
    </xf>
    <xf numFmtId="0" fontId="0" fillId="0" borderId="18" xfId="0" applyBorder="1"/>
    <xf numFmtId="0" fontId="0" fillId="0" borderId="0" xfId="0" applyAlignment="1">
      <alignment horizontal="center" vertical="center"/>
    </xf>
    <xf numFmtId="0" fontId="0" fillId="0" borderId="18" xfId="0" applyBorder="1" applyAlignment="1">
      <alignment wrapText="1"/>
    </xf>
    <xf numFmtId="0" fontId="0" fillId="0" borderId="0" xfId="0" applyAlignment="1">
      <alignment horizontal="center" vertical="center" wrapText="1"/>
    </xf>
    <xf numFmtId="0" fontId="0" fillId="0" borderId="18" xfId="0" applyBorder="1" applyAlignment="1">
      <alignment horizontal="center" vertical="top" wrapText="1"/>
    </xf>
    <xf numFmtId="0" fontId="0" fillId="0" borderId="15" xfId="0" applyBorder="1" applyAlignment="1" applyProtection="1">
      <alignment horizontal="center" vertical="center" wrapText="1"/>
      <protection locked="0"/>
    </xf>
    <xf numFmtId="0" fontId="4" fillId="0" borderId="18" xfId="0" applyFont="1" applyBorder="1" applyAlignment="1">
      <alignment horizontal="center" vertical="center"/>
    </xf>
    <xf numFmtId="164" fontId="4" fillId="0" borderId="18" xfId="0" applyNumberFormat="1" applyFont="1" applyBorder="1" applyAlignment="1">
      <alignment horizontal="center" vertical="center"/>
    </xf>
    <xf numFmtId="0" fontId="0" fillId="12" borderId="0" xfId="0" applyFill="1"/>
    <xf numFmtId="0" fontId="1" fillId="12" borderId="0" xfId="0" applyFont="1" applyFill="1"/>
    <xf numFmtId="0" fontId="19" fillId="12" borderId="0" xfId="0" applyFont="1" applyFill="1"/>
    <xf numFmtId="2" fontId="0" fillId="12" borderId="0" xfId="0" applyNumberFormat="1" applyFill="1" applyAlignment="1">
      <alignment vertical="center"/>
    </xf>
    <xf numFmtId="0" fontId="0" fillId="12" borderId="0" xfId="0" applyFill="1" applyAlignment="1">
      <alignment vertical="center"/>
    </xf>
    <xf numFmtId="0" fontId="0" fillId="12" borderId="0" xfId="0" applyFill="1" applyAlignment="1">
      <alignment wrapText="1"/>
    </xf>
    <xf numFmtId="0" fontId="24" fillId="4" borderId="48" xfId="1" applyFont="1" applyFill="1" applyBorder="1" applyAlignment="1" applyProtection="1">
      <alignment horizontal="center" vertical="center"/>
      <protection locked="0"/>
    </xf>
    <xf numFmtId="0" fontId="24" fillId="4" borderId="49" xfId="1" applyFont="1" applyFill="1" applyBorder="1" applyAlignment="1" applyProtection="1">
      <alignment horizontal="center" vertical="center"/>
      <protection locked="0"/>
    </xf>
    <xf numFmtId="2" fontId="24" fillId="4" borderId="26" xfId="1" applyNumberFormat="1" applyFont="1" applyFill="1" applyBorder="1" applyAlignment="1" applyProtection="1">
      <alignment horizontal="center" vertical="center"/>
      <protection locked="0"/>
    </xf>
    <xf numFmtId="2" fontId="24" fillId="4" borderId="29" xfId="1" applyNumberFormat="1" applyFont="1" applyFill="1" applyBorder="1" applyAlignment="1" applyProtection="1">
      <alignment horizontal="center" vertical="center"/>
      <protection locked="0"/>
    </xf>
    <xf numFmtId="2" fontId="24" fillId="4" borderId="14" xfId="1" applyNumberFormat="1" applyFont="1" applyFill="1" applyBorder="1" applyAlignment="1" applyProtection="1">
      <alignment horizontal="center" vertical="center"/>
      <protection locked="0"/>
    </xf>
    <xf numFmtId="0" fontId="22" fillId="5" borderId="11"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5" fillId="12" borderId="0" xfId="0" applyFont="1" applyFill="1" applyAlignment="1">
      <alignment vertical="center"/>
    </xf>
    <xf numFmtId="0" fontId="29" fillId="12" borderId="0" xfId="21" applyFill="1"/>
    <xf numFmtId="0" fontId="22" fillId="5" borderId="28" xfId="0" applyFont="1" applyFill="1" applyBorder="1" applyAlignment="1">
      <alignment horizontal="center" vertical="center" wrapText="1"/>
    </xf>
    <xf numFmtId="0" fontId="32" fillId="12" borderId="0" xfId="21" applyFont="1" applyFill="1" applyAlignment="1">
      <alignment horizontal="center" vertical="center"/>
    </xf>
    <xf numFmtId="0" fontId="32" fillId="12" borderId="0" xfId="21" applyFont="1" applyFill="1" applyBorder="1" applyAlignment="1">
      <alignment horizontal="center" vertical="center" wrapText="1"/>
    </xf>
    <xf numFmtId="0" fontId="32" fillId="7" borderId="26" xfId="21" applyFont="1" applyFill="1" applyBorder="1" applyAlignment="1">
      <alignment horizontal="center" vertical="center" wrapText="1"/>
    </xf>
    <xf numFmtId="0" fontId="5" fillId="12" borderId="0" xfId="0" applyFont="1" applyFill="1" applyAlignment="1">
      <alignment horizontal="left" vertical="center"/>
    </xf>
    <xf numFmtId="0" fontId="0" fillId="12" borderId="0" xfId="0" applyFill="1" applyAlignment="1">
      <alignment horizontal="center" vertical="center"/>
    </xf>
    <xf numFmtId="0" fontId="0" fillId="12" borderId="0" xfId="0" applyFill="1" applyAlignment="1">
      <alignment horizontal="center" vertical="center" wrapText="1"/>
    </xf>
    <xf numFmtId="0" fontId="14" fillId="5" borderId="18" xfId="0" applyFont="1" applyFill="1" applyBorder="1" applyAlignment="1">
      <alignment horizontal="center" vertical="center" wrapText="1"/>
    </xf>
    <xf numFmtId="0" fontId="14" fillId="5" borderId="18" xfId="0" applyFont="1" applyFill="1" applyBorder="1" applyAlignment="1">
      <alignment horizontal="center" vertical="center"/>
    </xf>
    <xf numFmtId="2" fontId="11" fillId="7" borderId="39" xfId="0" applyNumberFormat="1" applyFont="1" applyFill="1" applyBorder="1" applyAlignment="1">
      <alignment vertical="center" wrapText="1"/>
    </xf>
    <xf numFmtId="0" fontId="26" fillId="12" borderId="0" xfId="0" applyFont="1" applyFill="1" applyAlignment="1">
      <alignment vertical="center" wrapText="1"/>
    </xf>
    <xf numFmtId="0" fontId="26" fillId="12" borderId="0" xfId="0" applyFont="1" applyFill="1" applyAlignment="1">
      <alignment vertical="center"/>
    </xf>
    <xf numFmtId="0" fontId="6" fillId="12" borderId="0" xfId="0" applyFont="1" applyFill="1" applyAlignment="1">
      <alignment vertical="center"/>
    </xf>
    <xf numFmtId="0" fontId="0" fillId="0" borderId="0" xfId="0" applyAlignment="1">
      <alignment vertical="center"/>
    </xf>
    <xf numFmtId="0" fontId="37" fillId="12" borderId="0" xfId="0" applyFont="1" applyFill="1" applyAlignment="1">
      <alignment vertical="center"/>
    </xf>
    <xf numFmtId="0" fontId="37" fillId="12" borderId="0" xfId="0" applyFont="1" applyFill="1"/>
    <xf numFmtId="0" fontId="0" fillId="16" borderId="0" xfId="0" applyFill="1"/>
    <xf numFmtId="0" fontId="38" fillId="12" borderId="0" xfId="0" applyFont="1" applyFill="1"/>
    <xf numFmtId="0" fontId="39" fillId="12" borderId="0" xfId="0" applyFont="1" applyFill="1"/>
    <xf numFmtId="0" fontId="0" fillId="0" borderId="28" xfId="0" applyBorder="1" applyAlignment="1" applyProtection="1">
      <alignment horizontal="center" vertical="center" wrapText="1"/>
      <protection locked="0"/>
    </xf>
    <xf numFmtId="0" fontId="2" fillId="9" borderId="18"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0" fillId="0" borderId="41" xfId="0" applyBorder="1"/>
    <xf numFmtId="0" fontId="14" fillId="5" borderId="17" xfId="0" applyFont="1" applyFill="1" applyBorder="1" applyAlignment="1">
      <alignment horizontal="center" vertical="center"/>
    </xf>
    <xf numFmtId="0" fontId="0" fillId="0" borderId="64" xfId="0" applyBorder="1"/>
    <xf numFmtId="0" fontId="0" fillId="4" borderId="23" xfId="0" applyFill="1" applyBorder="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22" fillId="5" borderId="5" xfId="0" applyFont="1" applyFill="1" applyBorder="1" applyAlignment="1">
      <alignment horizontal="center"/>
    </xf>
    <xf numFmtId="0" fontId="35" fillId="12" borderId="0" xfId="0" applyFont="1" applyFill="1" applyAlignment="1">
      <alignment vertical="center" wrapText="1"/>
    </xf>
    <xf numFmtId="0" fontId="22" fillId="5" borderId="47" xfId="0" applyFont="1" applyFill="1" applyBorder="1" applyAlignment="1">
      <alignment horizontal="center"/>
    </xf>
    <xf numFmtId="0" fontId="12" fillId="5" borderId="28" xfId="0" applyFont="1" applyFill="1" applyBorder="1" applyAlignment="1">
      <alignment horizontal="center" vertical="center" wrapText="1"/>
    </xf>
    <xf numFmtId="0" fontId="35" fillId="12" borderId="0" xfId="0" applyFont="1" applyFill="1" applyAlignment="1">
      <alignment horizontal="center" vertical="center" wrapText="1"/>
    </xf>
    <xf numFmtId="0" fontId="0" fillId="12" borderId="0" xfId="0" applyFill="1" applyAlignment="1">
      <alignment horizontal="center" wrapText="1"/>
    </xf>
    <xf numFmtId="0" fontId="12" fillId="5" borderId="11" xfId="0" applyFont="1" applyFill="1" applyBorder="1" applyAlignment="1">
      <alignment horizontal="center" vertical="center" wrapText="1"/>
    </xf>
    <xf numFmtId="0" fontId="28" fillId="12" borderId="0" xfId="0" applyFont="1" applyFill="1" applyAlignment="1">
      <alignment horizontal="center" vertical="center" wrapText="1"/>
    </xf>
    <xf numFmtId="0" fontId="2" fillId="12" borderId="0" xfId="0" applyFont="1" applyFill="1"/>
    <xf numFmtId="0" fontId="1" fillId="12" borderId="0" xfId="0" applyFont="1" applyFill="1" applyAlignment="1">
      <alignment wrapText="1"/>
    </xf>
    <xf numFmtId="0" fontId="12" fillId="5" borderId="14"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8" xfId="0" applyFill="1" applyBorder="1" applyAlignment="1">
      <alignment horizontal="center" vertical="center" wrapText="1"/>
    </xf>
    <xf numFmtId="2" fontId="0" fillId="2" borderId="28" xfId="0" applyNumberFormat="1" applyFill="1" applyBorder="1" applyAlignment="1">
      <alignment horizontal="center" vertical="center" wrapText="1"/>
    </xf>
    <xf numFmtId="2" fontId="0" fillId="2" borderId="29" xfId="0" applyNumberFormat="1" applyFill="1" applyBorder="1" applyAlignment="1">
      <alignment horizontal="center" vertical="center" wrapText="1"/>
    </xf>
    <xf numFmtId="0" fontId="0" fillId="7" borderId="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2" fontId="0" fillId="2" borderId="13" xfId="0" applyNumberFormat="1" applyFill="1" applyBorder="1" applyAlignment="1">
      <alignment horizontal="center" vertical="center" wrapText="1"/>
    </xf>
    <xf numFmtId="2" fontId="0" fillId="2" borderId="14" xfId="0" applyNumberFormat="1" applyFill="1" applyBorder="1" applyAlignment="1">
      <alignment horizontal="center" vertical="center" wrapText="1"/>
    </xf>
    <xf numFmtId="0" fontId="1" fillId="12" borderId="0" xfId="0" applyFont="1" applyFill="1" applyAlignment="1">
      <alignment horizontal="center" wrapText="1"/>
    </xf>
    <xf numFmtId="0" fontId="10" fillId="3" borderId="0" xfId="0" applyFont="1" applyFill="1" applyAlignment="1">
      <alignment horizontal="center" vertical="center" textRotation="90"/>
    </xf>
    <xf numFmtId="0" fontId="4" fillId="19" borderId="46" xfId="0" applyFont="1" applyFill="1" applyBorder="1" applyAlignment="1">
      <alignment horizontal="center" vertical="center"/>
    </xf>
    <xf numFmtId="1" fontId="0" fillId="12" borderId="0" xfId="0" applyNumberFormat="1" applyFill="1"/>
    <xf numFmtId="164" fontId="0" fillId="2" borderId="29" xfId="0" applyNumberFormat="1" applyFill="1" applyBorder="1" applyAlignment="1">
      <alignment horizontal="center" vertical="center" wrapText="1"/>
    </xf>
    <xf numFmtId="0" fontId="4" fillId="7" borderId="9" xfId="0" applyFont="1" applyFill="1" applyBorder="1" applyAlignment="1">
      <alignment horizontal="center" vertical="center"/>
    </xf>
    <xf numFmtId="0" fontId="4" fillId="7" borderId="3" xfId="0" applyFont="1" applyFill="1" applyBorder="1" applyAlignment="1">
      <alignment horizontal="center" vertical="center"/>
    </xf>
    <xf numFmtId="0" fontId="0" fillId="7" borderId="2" xfId="0" applyFill="1" applyBorder="1" applyAlignment="1">
      <alignment horizontal="center" vertical="center" wrapText="1"/>
    </xf>
    <xf numFmtId="164" fontId="0" fillId="2" borderId="14" xfId="0" applyNumberForma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164" fontId="0" fillId="2" borderId="19" xfId="0" applyNumberFormat="1" applyFill="1" applyBorder="1" applyAlignment="1">
      <alignment horizontal="center" vertical="center" wrapText="1"/>
    </xf>
    <xf numFmtId="0" fontId="0" fillId="7" borderId="28" xfId="0" applyFill="1" applyBorder="1" applyAlignment="1">
      <alignment horizontal="center" vertical="center" wrapText="1"/>
    </xf>
    <xf numFmtId="0" fontId="22" fillId="5" borderId="26" xfId="0" applyFont="1" applyFill="1" applyBorder="1" applyAlignment="1">
      <alignment horizontal="center" vertical="center" wrapText="1"/>
    </xf>
    <xf numFmtId="0" fontId="25" fillId="7" borderId="18" xfId="0" applyFont="1" applyFill="1" applyBorder="1" applyAlignment="1">
      <alignment horizontal="center" vertical="center" wrapText="1"/>
    </xf>
    <xf numFmtId="165" fontId="25" fillId="7" borderId="18" xfId="0" applyNumberFormat="1" applyFont="1" applyFill="1" applyBorder="1" applyAlignment="1">
      <alignment horizontal="center" vertical="center" wrapText="1"/>
    </xf>
    <xf numFmtId="165" fontId="25" fillId="7" borderId="29" xfId="0" applyNumberFormat="1" applyFont="1" applyFill="1" applyBorder="1" applyAlignment="1">
      <alignment horizontal="center" vertical="center" wrapText="1"/>
    </xf>
    <xf numFmtId="0" fontId="25" fillId="7" borderId="18" xfId="0" applyFont="1" applyFill="1" applyBorder="1" applyAlignment="1">
      <alignment horizontal="center" vertical="center"/>
    </xf>
    <xf numFmtId="165" fontId="25" fillId="7" borderId="29" xfId="0" applyNumberFormat="1" applyFont="1" applyFill="1" applyBorder="1" applyAlignment="1">
      <alignment horizontal="center" wrapText="1"/>
    </xf>
    <xf numFmtId="0" fontId="22" fillId="5" borderId="51" xfId="0" applyFont="1" applyFill="1" applyBorder="1" applyAlignment="1">
      <alignment horizontal="center" vertical="center" wrapText="1"/>
    </xf>
    <xf numFmtId="0" fontId="22" fillId="5" borderId="52" xfId="0" applyFont="1" applyFill="1" applyBorder="1" applyAlignment="1">
      <alignment horizontal="center" vertical="center" wrapText="1"/>
    </xf>
    <xf numFmtId="0" fontId="19" fillId="12" borderId="0" xfId="0" applyFont="1" applyFill="1" applyAlignment="1">
      <alignment vertical="center" wrapText="1"/>
    </xf>
    <xf numFmtId="0" fontId="5" fillId="11" borderId="18" xfId="0" applyFont="1" applyFill="1" applyBorder="1" applyAlignment="1">
      <alignment horizontal="center"/>
    </xf>
    <xf numFmtId="0" fontId="3" fillId="8" borderId="18"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40" fillId="0" borderId="64" xfId="0" applyFont="1" applyBorder="1" applyAlignment="1">
      <alignment wrapText="1"/>
    </xf>
    <xf numFmtId="0" fontId="1" fillId="12" borderId="0" xfId="0" applyFont="1" applyFill="1" applyAlignment="1">
      <alignment vertical="center" wrapText="1"/>
    </xf>
    <xf numFmtId="164" fontId="0" fillId="2" borderId="17" xfId="0" applyNumberFormat="1" applyFill="1" applyBorder="1" applyAlignment="1">
      <alignment horizontal="center" vertical="center" wrapText="1"/>
    </xf>
    <xf numFmtId="0" fontId="4" fillId="0" borderId="77" xfId="0" applyFont="1" applyBorder="1" applyAlignment="1" applyProtection="1">
      <alignment horizontal="center" vertical="center" wrapText="1"/>
      <protection locked="0"/>
    </xf>
    <xf numFmtId="0" fontId="4" fillId="19" borderId="36"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7" borderId="11" xfId="0" applyFill="1" applyBorder="1" applyAlignment="1">
      <alignment horizontal="center" vertical="center" wrapText="1"/>
    </xf>
    <xf numFmtId="0" fontId="0" fillId="21" borderId="20" xfId="0" applyFill="1" applyBorder="1" applyAlignment="1" applyProtection="1">
      <alignment horizontal="center" vertical="center" wrapText="1"/>
      <protection locked="0"/>
    </xf>
    <xf numFmtId="0" fontId="0" fillId="21" borderId="25" xfId="0"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19" borderId="6" xfId="0" applyFont="1" applyFill="1" applyBorder="1" applyAlignment="1">
      <alignment horizontal="center" vertical="center"/>
    </xf>
    <xf numFmtId="0" fontId="0" fillId="0" borderId="63"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21" borderId="76" xfId="0" applyFill="1" applyBorder="1" applyAlignment="1" applyProtection="1">
      <alignment horizontal="center" vertical="center" wrapText="1"/>
      <protection locked="0"/>
    </xf>
    <xf numFmtId="0" fontId="0" fillId="4" borderId="67"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8" fillId="12" borderId="0" xfId="0" applyFont="1" applyFill="1" applyAlignment="1">
      <alignment horizontal="left"/>
    </xf>
    <xf numFmtId="0" fontId="0" fillId="12" borderId="0" xfId="0" applyFill="1" applyAlignment="1">
      <alignment horizontal="center"/>
    </xf>
    <xf numFmtId="0" fontId="23" fillId="5" borderId="5"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19" fillId="0" borderId="39"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5" fillId="12" borderId="0" xfId="0" applyFont="1" applyFill="1" applyAlignment="1">
      <alignment horizontal="center" vertical="center"/>
    </xf>
    <xf numFmtId="0" fontId="12" fillId="5" borderId="25" xfId="0" applyFont="1" applyFill="1" applyBorder="1" applyAlignment="1">
      <alignment horizontal="center" vertical="center" wrapText="1"/>
    </xf>
    <xf numFmtId="0" fontId="14" fillId="5" borderId="58" xfId="0" applyFont="1" applyFill="1" applyBorder="1" applyAlignment="1">
      <alignment horizontal="center" vertical="center" wrapText="1"/>
    </xf>
    <xf numFmtId="1" fontId="0" fillId="0" borderId="24"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wrapText="1"/>
      <protection locked="0"/>
    </xf>
    <xf numFmtId="164" fontId="25" fillId="7" borderId="18" xfId="0" applyNumberFormat="1" applyFont="1" applyFill="1" applyBorder="1" applyAlignment="1">
      <alignment horizontal="center" vertical="center" wrapText="1"/>
    </xf>
    <xf numFmtId="0" fontId="41" fillId="12" borderId="0" xfId="0" applyFont="1" applyFill="1"/>
    <xf numFmtId="166" fontId="41" fillId="12" borderId="0" xfId="0" applyNumberFormat="1" applyFont="1" applyFill="1"/>
    <xf numFmtId="0" fontId="1" fillId="12" borderId="0" xfId="0" applyFont="1" applyFill="1" applyAlignment="1">
      <alignment vertical="center"/>
    </xf>
    <xf numFmtId="0" fontId="22" fillId="5" borderId="8" xfId="0" applyFont="1" applyFill="1" applyBorder="1" applyAlignment="1">
      <alignment horizontal="center" vertical="center" wrapText="1"/>
    </xf>
    <xf numFmtId="14" fontId="19" fillId="0" borderId="18" xfId="0" applyNumberFormat="1" applyFont="1" applyBorder="1" applyAlignment="1" applyProtection="1">
      <alignment horizontal="center" vertical="center"/>
      <protection locked="0"/>
    </xf>
    <xf numFmtId="0" fontId="5" fillId="7" borderId="29" xfId="21" applyNumberFormat="1" applyFont="1" applyFill="1" applyBorder="1" applyAlignment="1">
      <alignment horizontal="center" vertical="center" wrapText="1"/>
    </xf>
    <xf numFmtId="0" fontId="0" fillId="7" borderId="49" xfId="0" applyFill="1" applyBorder="1" applyAlignment="1">
      <alignment horizontal="center" vertical="center" wrapText="1"/>
    </xf>
    <xf numFmtId="0" fontId="0" fillId="7" borderId="50" xfId="0" applyFill="1" applyBorder="1" applyAlignment="1">
      <alignment horizontal="center" vertical="center" wrapText="1"/>
    </xf>
    <xf numFmtId="0" fontId="41" fillId="12" borderId="0" xfId="0" applyFont="1" applyFill="1" applyAlignment="1">
      <alignment horizontal="center"/>
    </xf>
    <xf numFmtId="0" fontId="5" fillId="12" borderId="0" xfId="0" applyFont="1" applyFill="1"/>
    <xf numFmtId="0" fontId="0" fillId="19" borderId="28" xfId="0" applyFill="1" applyBorder="1" applyAlignment="1">
      <alignment horizontal="center" vertical="center" wrapText="1"/>
    </xf>
    <xf numFmtId="0" fontId="0" fillId="19" borderId="11"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70" xfId="0" applyFill="1" applyBorder="1" applyAlignment="1">
      <alignment horizontal="center" vertical="center" wrapText="1"/>
    </xf>
    <xf numFmtId="0" fontId="22" fillId="5" borderId="39" xfId="0" applyFont="1" applyFill="1" applyBorder="1" applyAlignment="1">
      <alignment horizontal="center" vertical="center"/>
    </xf>
    <xf numFmtId="0" fontId="12" fillId="5" borderId="18"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72" xfId="0" applyFill="1" applyBorder="1" applyAlignment="1">
      <alignment horizontal="center" vertical="center" wrapText="1"/>
    </xf>
    <xf numFmtId="164" fontId="0" fillId="2" borderId="7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40" xfId="0" applyFill="1" applyBorder="1" applyAlignment="1">
      <alignment horizontal="center" vertical="center" wrapText="1"/>
    </xf>
    <xf numFmtId="164" fontId="0" fillId="2" borderId="9" xfId="0" applyNumberFormat="1" applyFill="1" applyBorder="1" applyAlignment="1">
      <alignment horizontal="center" vertical="center" wrapText="1"/>
    </xf>
    <xf numFmtId="164" fontId="0" fillId="2" borderId="2" xfId="0" applyNumberFormat="1" applyFill="1" applyBorder="1" applyAlignment="1">
      <alignment horizontal="center" vertical="center" wrapText="1"/>
    </xf>
    <xf numFmtId="0" fontId="14" fillId="5" borderId="7"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9" xfId="0"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xf>
    <xf numFmtId="0" fontId="0" fillId="7" borderId="13" xfId="0" applyFill="1" applyBorder="1" applyAlignment="1">
      <alignment horizontal="center" vertical="center" wrapText="1"/>
    </xf>
    <xf numFmtId="0" fontId="22" fillId="5" borderId="78" xfId="0" applyFont="1" applyFill="1" applyBorder="1" applyAlignment="1">
      <alignment vertical="center"/>
    </xf>
    <xf numFmtId="0" fontId="22" fillId="5" borderId="51" xfId="0" applyFont="1" applyFill="1" applyBorder="1" applyAlignment="1">
      <alignment horizontal="center" vertical="center"/>
    </xf>
    <xf numFmtId="0" fontId="22" fillId="5" borderId="52" xfId="0" applyFont="1" applyFill="1" applyBorder="1" applyAlignment="1">
      <alignment horizontal="center" vertical="center"/>
    </xf>
    <xf numFmtId="0" fontId="0" fillId="7" borderId="54" xfId="0" applyFill="1" applyBorder="1" applyAlignment="1">
      <alignment horizontal="center" vertical="center"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12"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25" xfId="0" applyFont="1" applyFill="1" applyBorder="1" applyAlignment="1">
      <alignment horizontal="center" vertical="center"/>
    </xf>
    <xf numFmtId="0" fontId="24" fillId="4" borderId="50" xfId="1" applyFont="1" applyFill="1" applyBorder="1" applyAlignment="1" applyProtection="1">
      <alignment horizontal="center" vertical="center"/>
      <protection locked="0"/>
    </xf>
    <xf numFmtId="0" fontId="5" fillId="7" borderId="26" xfId="21" applyFont="1" applyFill="1" applyBorder="1" applyAlignment="1" applyProtection="1">
      <alignment horizontal="center" vertical="center" wrapText="1"/>
    </xf>
    <xf numFmtId="0" fontId="32" fillId="7" borderId="29" xfId="21" applyFont="1" applyFill="1" applyBorder="1" applyAlignment="1" applyProtection="1">
      <alignment horizontal="center" vertical="center" wrapText="1"/>
    </xf>
    <xf numFmtId="0" fontId="19" fillId="7" borderId="29" xfId="21" applyFont="1" applyFill="1" applyBorder="1" applyAlignment="1" applyProtection="1">
      <alignment horizontal="center" vertical="center" wrapText="1"/>
    </xf>
    <xf numFmtId="0" fontId="19" fillId="7" borderId="14" xfId="21" applyFont="1" applyFill="1" applyBorder="1" applyAlignment="1" applyProtection="1">
      <alignment horizontal="center" vertical="center" wrapText="1"/>
    </xf>
    <xf numFmtId="0" fontId="0" fillId="12" borderId="0" xfId="0" applyFill="1" applyAlignment="1">
      <alignment horizontal="left"/>
    </xf>
    <xf numFmtId="0" fontId="0" fillId="7" borderId="20" xfId="0" applyFill="1" applyBorder="1" applyAlignment="1">
      <alignment horizontal="center" vertical="center" wrapText="1"/>
    </xf>
    <xf numFmtId="0" fontId="0" fillId="7" borderId="19" xfId="0" applyFill="1" applyBorder="1" applyAlignment="1">
      <alignment horizontal="center" vertical="center" wrapText="1"/>
    </xf>
    <xf numFmtId="0" fontId="0" fillId="19" borderId="20"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14" fillId="5" borderId="34" xfId="0" applyFont="1" applyFill="1" applyBorder="1" applyAlignment="1">
      <alignment horizontal="center" vertical="center"/>
    </xf>
    <xf numFmtId="0" fontId="22" fillId="5" borderId="39" xfId="0" applyFont="1" applyFill="1" applyBorder="1" applyAlignment="1">
      <alignment horizontal="center" vertical="center" wrapText="1"/>
    </xf>
    <xf numFmtId="1" fontId="0" fillId="2" borderId="24" xfId="0" applyNumberFormat="1" applyFill="1" applyBorder="1" applyAlignment="1">
      <alignment horizontal="center" vertical="center" wrapText="1"/>
    </xf>
    <xf numFmtId="1" fontId="0" fillId="2" borderId="19" xfId="0" applyNumberFormat="1" applyFill="1" applyBorder="1" applyAlignment="1">
      <alignment horizontal="center" vertical="center" wrapText="1"/>
    </xf>
    <xf numFmtId="1" fontId="0" fillId="2" borderId="18" xfId="0" applyNumberFormat="1" applyFill="1" applyBorder="1" applyAlignment="1">
      <alignment horizontal="center" vertical="center" wrapText="1"/>
    </xf>
    <xf numFmtId="1" fontId="0" fillId="2" borderId="29" xfId="0" applyNumberFormat="1" applyFill="1" applyBorder="1" applyAlignment="1">
      <alignment horizontal="center" vertical="center" wrapText="1"/>
    </xf>
    <xf numFmtId="1" fontId="0" fillId="0" borderId="19" xfId="0" applyNumberFormat="1" applyBorder="1" applyAlignment="1" applyProtection="1">
      <alignment horizontal="center" vertical="center"/>
      <protection locked="0"/>
    </xf>
    <xf numFmtId="1" fontId="0" fillId="0" borderId="28"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protection locked="0"/>
    </xf>
    <xf numFmtId="0" fontId="25" fillId="7" borderId="13" xfId="0" applyFont="1" applyFill="1" applyBorder="1" applyAlignment="1">
      <alignment horizontal="center" vertical="center"/>
    </xf>
    <xf numFmtId="165" fontId="25" fillId="7" borderId="13" xfId="0" applyNumberFormat="1" applyFont="1" applyFill="1" applyBorder="1" applyAlignment="1">
      <alignment horizontal="center" vertical="center" wrapText="1"/>
    </xf>
    <xf numFmtId="165" fontId="25" fillId="7" borderId="14" xfId="0" applyNumberFormat="1" applyFont="1" applyFill="1" applyBorder="1" applyAlignment="1">
      <alignment horizontal="center" wrapText="1"/>
    </xf>
    <xf numFmtId="0" fontId="0" fillId="7" borderId="79" xfId="0" applyFill="1" applyBorder="1" applyAlignment="1">
      <alignment horizontal="center" vertical="center" wrapText="1"/>
    </xf>
    <xf numFmtId="0" fontId="0" fillId="20" borderId="2" xfId="0" applyFill="1" applyBorder="1"/>
    <xf numFmtId="0" fontId="0" fillId="0" borderId="67" xfId="0" applyBorder="1" applyAlignment="1" applyProtection="1">
      <alignment horizontal="center" vertical="center" wrapText="1"/>
      <protection locked="0"/>
    </xf>
    <xf numFmtId="0" fontId="0" fillId="20" borderId="2" xfId="0" applyFill="1" applyBorder="1" applyAlignment="1">
      <alignment vertical="center" wrapText="1"/>
    </xf>
    <xf numFmtId="0" fontId="43" fillId="12" borderId="0" xfId="0" applyFont="1" applyFill="1" applyAlignment="1">
      <alignment horizontal="center" vertical="center"/>
    </xf>
    <xf numFmtId="0" fontId="2" fillId="10" borderId="18" xfId="0" applyFont="1" applyFill="1" applyBorder="1" applyAlignment="1">
      <alignment horizontal="center" vertical="center" wrapText="1"/>
    </xf>
    <xf numFmtId="0" fontId="0" fillId="0" borderId="24" xfId="0" applyBorder="1" applyAlignment="1">
      <alignment horizontal="center" vertical="center"/>
    </xf>
    <xf numFmtId="0" fontId="2" fillId="10" borderId="1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44" fillId="5" borderId="18" xfId="0" applyFont="1" applyFill="1" applyBorder="1" applyAlignment="1">
      <alignment horizontal="center" vertical="center" wrapText="1"/>
    </xf>
    <xf numFmtId="0" fontId="30" fillId="5" borderId="18" xfId="0" applyFont="1" applyFill="1" applyBorder="1" applyAlignment="1">
      <alignment horizontal="center"/>
    </xf>
    <xf numFmtId="0" fontId="0" fillId="0" borderId="56" xfId="0" applyBorder="1" applyAlignment="1">
      <alignment horizontal="center" vertical="center"/>
    </xf>
    <xf numFmtId="0" fontId="0" fillId="0" borderId="39" xfId="0" applyBorder="1" applyAlignment="1">
      <alignment horizontal="center" vertical="center" wrapText="1"/>
    </xf>
    <xf numFmtId="0" fontId="0" fillId="18" borderId="26" xfId="0" applyFill="1" applyBorder="1" applyAlignment="1">
      <alignment horizontal="center" vertical="center"/>
    </xf>
    <xf numFmtId="0" fontId="0" fillId="18" borderId="29" xfId="0" applyFill="1" applyBorder="1" applyAlignment="1">
      <alignment horizontal="center" vertical="center"/>
    </xf>
    <xf numFmtId="0" fontId="0" fillId="0" borderId="13" xfId="0" applyBorder="1" applyAlignment="1">
      <alignment horizontal="center" vertical="center" wrapText="1"/>
    </xf>
    <xf numFmtId="0" fontId="0" fillId="18" borderId="14" xfId="0" applyFill="1" applyBorder="1" applyAlignment="1">
      <alignment horizontal="center" vertical="center"/>
    </xf>
    <xf numFmtId="0" fontId="0" fillId="11" borderId="26" xfId="0" applyFill="1" applyBorder="1" applyAlignment="1">
      <alignment horizontal="center" vertical="center"/>
    </xf>
    <xf numFmtId="0" fontId="0" fillId="11" borderId="29" xfId="0" applyFill="1" applyBorder="1" applyAlignment="1">
      <alignment horizontal="center" vertical="center"/>
    </xf>
    <xf numFmtId="0" fontId="0" fillId="11" borderId="14" xfId="0" applyFill="1" applyBorder="1" applyAlignment="1">
      <alignment horizontal="center" vertical="center"/>
    </xf>
    <xf numFmtId="0" fontId="0" fillId="3" borderId="29" xfId="0" applyFill="1"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wrapText="1"/>
    </xf>
    <xf numFmtId="0" fontId="0" fillId="11" borderId="9" xfId="0" applyFill="1" applyBorder="1" applyAlignment="1">
      <alignment horizontal="center" vertical="center"/>
    </xf>
    <xf numFmtId="0" fontId="0" fillId="3" borderId="14" xfId="0" applyFill="1" applyBorder="1" applyAlignment="1">
      <alignment horizontal="center" vertical="center"/>
    </xf>
    <xf numFmtId="0" fontId="2" fillId="2" borderId="78"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center" vertical="center" wrapText="1"/>
    </xf>
    <xf numFmtId="0" fontId="0" fillId="0" borderId="80" xfId="0" applyBorder="1" applyAlignment="1">
      <alignment horizontal="center" vertical="center"/>
    </xf>
    <xf numFmtId="0" fontId="0" fillId="0" borderId="80" xfId="0" applyBorder="1" applyAlignment="1">
      <alignment horizontal="center" vertical="center" wrapText="1"/>
    </xf>
    <xf numFmtId="0" fontId="0" fillId="4" borderId="20"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167" fontId="25" fillId="7" borderId="18" xfId="0" applyNumberFormat="1" applyFont="1" applyFill="1" applyBorder="1" applyAlignment="1">
      <alignment horizontal="center" vertical="center" wrapText="1"/>
    </xf>
    <xf numFmtId="0" fontId="22" fillId="23" borderId="9" xfId="0" applyFont="1" applyFill="1" applyBorder="1" applyAlignment="1">
      <alignment horizontal="center" vertical="center"/>
    </xf>
    <xf numFmtId="0" fontId="22" fillId="23" borderId="26" xfId="0" applyFont="1" applyFill="1" applyBorder="1" applyAlignment="1">
      <alignment horizontal="center"/>
    </xf>
    <xf numFmtId="0" fontId="22" fillId="23" borderId="14" xfId="0" applyFont="1" applyFill="1" applyBorder="1" applyAlignment="1">
      <alignment horizontal="center"/>
    </xf>
    <xf numFmtId="0" fontId="12" fillId="23" borderId="21" xfId="0" applyFont="1" applyFill="1" applyBorder="1" applyAlignment="1">
      <alignment horizontal="center" vertical="center" wrapText="1"/>
    </xf>
    <xf numFmtId="0" fontId="12" fillId="23" borderId="45" xfId="0" applyFont="1" applyFill="1" applyBorder="1" applyAlignment="1">
      <alignment horizontal="center" vertical="center" wrapText="1"/>
    </xf>
    <xf numFmtId="0" fontId="12" fillId="23" borderId="47" xfId="0" applyFont="1" applyFill="1" applyBorder="1" applyAlignment="1">
      <alignment horizontal="center" vertical="center" wrapText="1"/>
    </xf>
    <xf numFmtId="0" fontId="12" fillId="23" borderId="59"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4" fillId="23" borderId="10" xfId="0" applyFont="1" applyFill="1" applyBorder="1" applyAlignment="1">
      <alignment horizontal="center" vertical="center" wrapText="1"/>
    </xf>
    <xf numFmtId="0" fontId="14" fillId="23" borderId="7"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4" fillId="23" borderId="4" xfId="0" applyFont="1" applyFill="1" applyBorder="1" applyAlignment="1">
      <alignment horizontal="center" vertical="center" wrapText="1"/>
    </xf>
    <xf numFmtId="0" fontId="14" fillId="23" borderId="11" xfId="0" applyFont="1" applyFill="1" applyBorder="1" applyAlignment="1">
      <alignment horizontal="center" vertical="center" wrapText="1"/>
    </xf>
    <xf numFmtId="0" fontId="23" fillId="23" borderId="39" xfId="0" applyFont="1" applyFill="1" applyBorder="1" applyAlignment="1">
      <alignment horizontal="center" vertical="center" wrapText="1"/>
    </xf>
    <xf numFmtId="0" fontId="23" fillId="23" borderId="18" xfId="0" applyFont="1" applyFill="1" applyBorder="1" applyAlignment="1">
      <alignment horizontal="center" vertical="center" wrapText="1"/>
    </xf>
    <xf numFmtId="0" fontId="23" fillId="23" borderId="13" xfId="0" applyFont="1" applyFill="1" applyBorder="1" applyAlignment="1">
      <alignment horizontal="center" vertical="center" wrapText="1"/>
    </xf>
    <xf numFmtId="0" fontId="2" fillId="24" borderId="18" xfId="0" applyFont="1" applyFill="1" applyBorder="1" applyAlignment="1">
      <alignment horizontal="center" vertical="center" wrapText="1"/>
    </xf>
    <xf numFmtId="165" fontId="11" fillId="25" borderId="29" xfId="0" applyNumberFormat="1" applyFont="1" applyFill="1" applyBorder="1" applyAlignment="1">
      <alignment horizontal="center" vertical="center" wrapText="1"/>
    </xf>
    <xf numFmtId="165" fontId="11" fillId="25" borderId="14" xfId="0" applyNumberFormat="1" applyFont="1" applyFill="1" applyBorder="1" applyAlignment="1">
      <alignment horizontal="center" vertical="center" wrapText="1"/>
    </xf>
    <xf numFmtId="165" fontId="0" fillId="25" borderId="72" xfId="0" applyNumberFormat="1" applyFill="1" applyBorder="1" applyAlignment="1">
      <alignment horizontal="center" vertical="center" wrapText="1"/>
    </xf>
    <xf numFmtId="165" fontId="0" fillId="25" borderId="71" xfId="0" applyNumberFormat="1" applyFill="1" applyBorder="1" applyAlignment="1">
      <alignment horizontal="center" vertical="center" wrapText="1"/>
    </xf>
    <xf numFmtId="0" fontId="14" fillId="23" borderId="25" xfId="0" applyFont="1" applyFill="1" applyBorder="1" applyAlignment="1">
      <alignment horizontal="center" vertical="center" wrapText="1"/>
    </xf>
    <xf numFmtId="0" fontId="14" fillId="23" borderId="28" xfId="0" applyFont="1" applyFill="1" applyBorder="1" applyAlignment="1">
      <alignment horizontal="center" vertical="center" wrapText="1"/>
    </xf>
    <xf numFmtId="165" fontId="0" fillId="25" borderId="20" xfId="0" applyNumberFormat="1" applyFill="1" applyBorder="1" applyAlignment="1">
      <alignment horizontal="center" vertical="center" wrapText="1"/>
    </xf>
    <xf numFmtId="165" fontId="0" fillId="25" borderId="1" xfId="0" applyNumberFormat="1" applyFill="1" applyBorder="1" applyAlignment="1">
      <alignment horizontal="center" vertical="center" wrapText="1"/>
    </xf>
    <xf numFmtId="1" fontId="2" fillId="25" borderId="11" xfId="0" applyNumberFormat="1" applyFont="1" applyFill="1" applyBorder="1" applyAlignment="1">
      <alignment horizontal="center" vertical="center" wrapText="1"/>
    </xf>
    <xf numFmtId="1" fontId="2" fillId="25" borderId="13" xfId="0" applyNumberFormat="1" applyFont="1" applyFill="1" applyBorder="1" applyAlignment="1">
      <alignment horizontal="center" vertical="center" wrapText="1"/>
    </xf>
    <xf numFmtId="1" fontId="2" fillId="25" borderId="14" xfId="0" applyNumberFormat="1" applyFont="1" applyFill="1" applyBorder="1" applyAlignment="1">
      <alignment horizontal="center" vertical="center" wrapText="1"/>
    </xf>
    <xf numFmtId="0" fontId="46" fillId="4" borderId="38" xfId="0" applyFont="1" applyFill="1" applyBorder="1" applyAlignment="1" applyProtection="1">
      <alignment horizontal="left" vertical="top" wrapText="1"/>
      <protection locked="0"/>
    </xf>
    <xf numFmtId="168" fontId="5" fillId="0" borderId="43" xfId="0" applyNumberFormat="1" applyFont="1" applyBorder="1" applyAlignment="1" applyProtection="1">
      <alignment horizontal="center" vertical="center"/>
      <protection locked="0"/>
    </xf>
    <xf numFmtId="168" fontId="5" fillId="0" borderId="36" xfId="0" applyNumberFormat="1" applyFont="1" applyBorder="1" applyAlignment="1" applyProtection="1">
      <alignment horizontal="center" vertical="center"/>
      <protection locked="0"/>
    </xf>
    <xf numFmtId="165" fontId="5" fillId="25" borderId="62" xfId="0" applyNumberFormat="1" applyFont="1" applyFill="1" applyBorder="1" applyAlignment="1">
      <alignment horizontal="center" vertical="center" wrapText="1"/>
    </xf>
    <xf numFmtId="165" fontId="5" fillId="0" borderId="27" xfId="0" applyNumberFormat="1" applyFont="1" applyBorder="1" applyAlignment="1">
      <alignment horizontal="center" vertical="center" wrapText="1"/>
    </xf>
    <xf numFmtId="165" fontId="5" fillId="0" borderId="61" xfId="0" applyNumberFormat="1" applyFont="1" applyBorder="1" applyAlignment="1">
      <alignment horizontal="center" vertical="center" wrapText="1"/>
    </xf>
    <xf numFmtId="165" fontId="5" fillId="25" borderId="6" xfId="0" applyNumberFormat="1" applyFont="1" applyFill="1" applyBorder="1" applyAlignment="1">
      <alignment horizontal="center" vertical="center" wrapText="1"/>
    </xf>
    <xf numFmtId="165" fontId="5" fillId="25" borderId="56" xfId="0" applyNumberFormat="1" applyFont="1" applyFill="1" applyBorder="1" applyAlignment="1">
      <alignment horizontal="center" vertical="center" wrapText="1"/>
    </xf>
    <xf numFmtId="165" fontId="5" fillId="25" borderId="55" xfId="0" applyNumberFormat="1" applyFont="1" applyFill="1" applyBorder="1" applyAlignment="1">
      <alignment horizontal="center" vertical="center" wrapText="1"/>
    </xf>
    <xf numFmtId="10" fontId="5" fillId="0" borderId="62" xfId="32" applyNumberFormat="1" applyFont="1" applyFill="1" applyBorder="1" applyAlignment="1">
      <alignment horizontal="center" vertical="center" wrapText="1"/>
    </xf>
    <xf numFmtId="10" fontId="5" fillId="0" borderId="27" xfId="32" applyNumberFormat="1" applyFont="1" applyFill="1" applyBorder="1" applyAlignment="1">
      <alignment horizontal="center" vertical="center" wrapText="1"/>
    </xf>
    <xf numFmtId="165" fontId="5" fillId="0" borderId="6" xfId="0" applyNumberFormat="1" applyFont="1" applyBorder="1" applyAlignment="1">
      <alignment vertical="center"/>
    </xf>
    <xf numFmtId="165" fontId="5" fillId="0" borderId="56" xfId="0" applyNumberFormat="1" applyFont="1" applyBorder="1" applyAlignment="1">
      <alignment vertical="center"/>
    </xf>
    <xf numFmtId="0" fontId="14" fillId="23" borderId="15" xfId="0" applyFont="1" applyFill="1" applyBorder="1" applyAlignment="1">
      <alignment horizontal="center" vertical="center" wrapText="1"/>
    </xf>
    <xf numFmtId="165" fontId="0" fillId="25" borderId="29" xfId="0" applyNumberFormat="1" applyFill="1" applyBorder="1" applyAlignment="1">
      <alignment horizontal="center" vertical="center" wrapText="1"/>
    </xf>
    <xf numFmtId="165" fontId="0" fillId="25" borderId="19" xfId="0" applyNumberFormat="1" applyFill="1" applyBorder="1" applyAlignment="1">
      <alignment horizontal="center" vertical="center" wrapText="1"/>
    </xf>
    <xf numFmtId="165" fontId="0" fillId="25" borderId="11" xfId="0" applyNumberFormat="1" applyFill="1" applyBorder="1" applyAlignment="1">
      <alignment horizontal="center" vertical="center" wrapText="1"/>
    </xf>
    <xf numFmtId="165" fontId="0" fillId="25" borderId="14" xfId="0" applyNumberFormat="1" applyFill="1" applyBorder="1" applyAlignment="1">
      <alignment horizontal="center" vertical="center" wrapText="1"/>
    </xf>
    <xf numFmtId="165" fontId="0" fillId="25" borderId="28" xfId="0" applyNumberFormat="1" applyFill="1" applyBorder="1" applyAlignment="1">
      <alignment horizontal="center" vertical="center" wrapText="1"/>
    </xf>
    <xf numFmtId="165" fontId="0" fillId="25" borderId="25" xfId="0" applyNumberFormat="1" applyFill="1" applyBorder="1" applyAlignment="1">
      <alignment horizontal="center" vertical="center" wrapText="1"/>
    </xf>
    <xf numFmtId="165" fontId="0" fillId="25" borderId="26" xfId="0" applyNumberFormat="1" applyFill="1" applyBorder="1" applyAlignment="1">
      <alignment horizontal="center" vertical="center" wrapText="1"/>
    </xf>
    <xf numFmtId="0" fontId="0" fillId="0" borderId="54" xfId="0" applyBorder="1"/>
    <xf numFmtId="165" fontId="0" fillId="2" borderId="28" xfId="0" applyNumberFormat="1" applyFill="1" applyBorder="1" applyAlignment="1">
      <alignment horizontal="center" vertical="center" wrapText="1"/>
    </xf>
    <xf numFmtId="165" fontId="0" fillId="2" borderId="18" xfId="0" applyNumberFormat="1" applyFill="1" applyBorder="1" applyAlignment="1">
      <alignment horizontal="center" vertical="center" wrapText="1"/>
    </xf>
    <xf numFmtId="165" fontId="0" fillId="2" borderId="29" xfId="0" applyNumberFormat="1" applyFill="1" applyBorder="1" applyAlignment="1">
      <alignment horizontal="center" vertical="center" wrapText="1"/>
    </xf>
    <xf numFmtId="2" fontId="0" fillId="25" borderId="18" xfId="0" applyNumberFormat="1" applyFill="1" applyBorder="1" applyAlignment="1">
      <alignment horizontal="center" vertical="center" wrapText="1"/>
    </xf>
    <xf numFmtId="2" fontId="0" fillId="0" borderId="25" xfId="0" applyNumberFormat="1" applyBorder="1" applyAlignment="1" applyProtection="1">
      <alignment horizontal="center" vertical="center" wrapText="1"/>
      <protection locked="0"/>
    </xf>
    <xf numFmtId="2" fontId="0" fillId="0" borderId="39" xfId="0" applyNumberFormat="1" applyBorder="1" applyAlignment="1" applyProtection="1">
      <alignment horizontal="center" vertical="center" wrapText="1"/>
      <protection locked="0"/>
    </xf>
    <xf numFmtId="2" fontId="0" fillId="0" borderId="62" xfId="0" applyNumberFormat="1" applyBorder="1" applyAlignment="1" applyProtection="1">
      <alignment horizontal="center" vertical="center" wrapText="1"/>
      <protection locked="0"/>
    </xf>
    <xf numFmtId="2" fontId="0" fillId="0" borderId="20" xfId="0" applyNumberFormat="1" applyBorder="1" applyAlignment="1" applyProtection="1">
      <alignment horizontal="center" vertical="center" wrapText="1"/>
      <protection locked="0"/>
    </xf>
    <xf numFmtId="2" fontId="0" fillId="0" borderId="18" xfId="0" applyNumberFormat="1" applyBorder="1" applyAlignment="1" applyProtection="1">
      <alignment horizontal="center" vertical="center" wrapText="1"/>
      <protection locked="0"/>
    </xf>
    <xf numFmtId="2" fontId="0" fillId="0" borderId="68" xfId="0" applyNumberFormat="1" applyBorder="1" applyAlignment="1" applyProtection="1">
      <alignment horizontal="center" vertical="center" wrapText="1"/>
      <protection locked="0"/>
    </xf>
    <xf numFmtId="2" fontId="0" fillId="0" borderId="76" xfId="0" applyNumberFormat="1" applyBorder="1" applyAlignment="1" applyProtection="1">
      <alignment horizontal="center" vertical="center" wrapText="1"/>
      <protection locked="0"/>
    </xf>
    <xf numFmtId="2" fontId="0" fillId="0" borderId="13" xfId="0" applyNumberFormat="1" applyBorder="1" applyAlignment="1" applyProtection="1">
      <alignment horizontal="center" vertical="center" wrapText="1"/>
      <protection locked="0"/>
    </xf>
    <xf numFmtId="2" fontId="0" fillId="0" borderId="37" xfId="0" applyNumberFormat="1" applyBorder="1" applyAlignment="1" applyProtection="1">
      <alignment horizontal="center" vertical="center" wrapText="1"/>
      <protection locked="0"/>
    </xf>
    <xf numFmtId="2" fontId="0" fillId="25" borderId="78" xfId="0" applyNumberFormat="1" applyFill="1" applyBorder="1" applyAlignment="1">
      <alignment horizontal="center" vertical="center" wrapText="1"/>
    </xf>
    <xf numFmtId="2" fontId="0" fillId="25" borderId="51" xfId="0" applyNumberFormat="1" applyFill="1" applyBorder="1" applyAlignment="1">
      <alignment horizontal="center" vertical="center" wrapText="1"/>
    </xf>
    <xf numFmtId="2" fontId="0" fillId="25" borderId="52" xfId="0" applyNumberFormat="1" applyFill="1" applyBorder="1" applyAlignment="1">
      <alignment horizontal="center" vertical="center" wrapText="1"/>
    </xf>
    <xf numFmtId="2" fontId="0" fillId="25" borderId="39" xfId="0" applyNumberFormat="1" applyFill="1" applyBorder="1" applyAlignment="1">
      <alignment horizontal="center" vertical="center" wrapText="1"/>
    </xf>
    <xf numFmtId="2" fontId="0" fillId="25" borderId="13" xfId="0" applyNumberFormat="1" applyFill="1" applyBorder="1" applyAlignment="1">
      <alignment horizontal="center" vertical="center" wrapText="1"/>
    </xf>
    <xf numFmtId="2" fontId="0" fillId="25" borderId="68" xfId="0" applyNumberFormat="1" applyFill="1" applyBorder="1" applyAlignment="1">
      <alignment horizontal="center" vertical="center" wrapText="1"/>
    </xf>
    <xf numFmtId="2" fontId="4" fillId="7" borderId="21" xfId="0" applyNumberFormat="1" applyFont="1" applyFill="1" applyBorder="1" applyAlignment="1">
      <alignment horizontal="center" vertical="center"/>
    </xf>
    <xf numFmtId="2" fontId="0" fillId="25" borderId="7" xfId="0" applyNumberFormat="1" applyFill="1" applyBorder="1" applyAlignment="1">
      <alignment horizontal="center" vertical="center" wrapText="1"/>
    </xf>
    <xf numFmtId="2" fontId="0" fillId="25" borderId="73" xfId="0" applyNumberFormat="1" applyFill="1" applyBorder="1" applyAlignment="1">
      <alignment horizontal="center" vertical="center" wrapText="1"/>
    </xf>
    <xf numFmtId="2" fontId="4" fillId="7" borderId="22" xfId="0" applyNumberFormat="1" applyFont="1" applyFill="1" applyBorder="1" applyAlignment="1">
      <alignment horizontal="center" vertical="center"/>
    </xf>
    <xf numFmtId="2" fontId="4" fillId="7" borderId="49" xfId="0" applyNumberFormat="1" applyFont="1" applyFill="1" applyBorder="1" applyAlignment="1">
      <alignment horizontal="center" vertical="center"/>
    </xf>
    <xf numFmtId="2" fontId="0" fillId="25" borderId="10" xfId="0" applyNumberFormat="1" applyFill="1" applyBorder="1" applyAlignment="1">
      <alignment horizontal="center" vertical="center" wrapText="1"/>
    </xf>
    <xf numFmtId="2" fontId="0" fillId="0" borderId="24" xfId="0" applyNumberFormat="1" applyBorder="1" applyAlignment="1" applyProtection="1">
      <alignment horizontal="center" vertical="center" wrapText="1"/>
      <protection locked="0"/>
    </xf>
    <xf numFmtId="2" fontId="0" fillId="7" borderId="8" xfId="0" applyNumberFormat="1" applyFill="1" applyBorder="1" applyAlignment="1">
      <alignment horizontal="center" vertical="center" wrapText="1"/>
    </xf>
    <xf numFmtId="2" fontId="0" fillId="7" borderId="53" xfId="0" applyNumberFormat="1" applyFill="1" applyBorder="1" applyAlignment="1">
      <alignment horizontal="center" vertical="center" wrapText="1"/>
    </xf>
    <xf numFmtId="2" fontId="0" fillId="25" borderId="72" xfId="0" applyNumberFormat="1" applyFill="1" applyBorder="1" applyAlignment="1">
      <alignment horizontal="center" vertical="center" wrapText="1"/>
    </xf>
    <xf numFmtId="2" fontId="0" fillId="25" borderId="70" xfId="0" applyNumberFormat="1" applyFill="1" applyBorder="1" applyAlignment="1">
      <alignment horizontal="center" vertical="center" wrapText="1"/>
    </xf>
    <xf numFmtId="2" fontId="0" fillId="25" borderId="71" xfId="0" applyNumberFormat="1" applyFill="1" applyBorder="1" applyAlignment="1">
      <alignment horizontal="center" vertical="center" wrapText="1"/>
    </xf>
    <xf numFmtId="165" fontId="11" fillId="7" borderId="29" xfId="0" applyNumberFormat="1" applyFont="1" applyFill="1" applyBorder="1" applyAlignment="1">
      <alignment horizontal="center" vertical="center" wrapText="1"/>
    </xf>
    <xf numFmtId="165" fontId="11" fillId="7" borderId="14" xfId="0" applyNumberFormat="1" applyFont="1" applyFill="1" applyBorder="1" applyAlignment="1">
      <alignment horizontal="center" vertical="center" wrapText="1"/>
    </xf>
    <xf numFmtId="165" fontId="11" fillId="6" borderId="29" xfId="0" applyNumberFormat="1" applyFont="1" applyFill="1" applyBorder="1" applyAlignment="1">
      <alignment horizontal="center" vertical="center" wrapText="1"/>
    </xf>
    <xf numFmtId="165" fontId="11" fillId="6" borderId="14" xfId="0" applyNumberFormat="1"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2" fillId="5" borderId="7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wrapText="1"/>
    </xf>
    <xf numFmtId="0" fontId="14" fillId="5" borderId="27" xfId="0" applyFont="1" applyFill="1" applyBorder="1" applyAlignment="1">
      <alignment horizontal="center" vertical="center" wrapText="1"/>
    </xf>
    <xf numFmtId="0" fontId="4" fillId="19" borderId="46" xfId="0" applyFont="1" applyFill="1" applyBorder="1" applyAlignment="1">
      <alignment horizontal="center" vertical="center" wrapText="1"/>
    </xf>
    <xf numFmtId="0" fontId="0" fillId="12" borderId="18"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2" xfId="0" applyFill="1" applyBorder="1" applyAlignment="1">
      <alignment horizontal="center" vertical="center" wrapText="1"/>
    </xf>
    <xf numFmtId="0" fontId="14" fillId="12" borderId="0" xfId="0" applyFont="1" applyFill="1" applyAlignment="1">
      <alignment horizontal="center" vertical="center" wrapText="1"/>
    </xf>
    <xf numFmtId="0" fontId="0" fillId="12" borderId="54" xfId="0" applyFill="1" applyBorder="1" applyAlignment="1">
      <alignment horizontal="center" vertical="center" wrapText="1"/>
    </xf>
    <xf numFmtId="0" fontId="0" fillId="12" borderId="5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60" xfId="0" applyFill="1" applyBorder="1" applyAlignment="1">
      <alignment horizontal="center" vertical="center" wrapText="1"/>
    </xf>
    <xf numFmtId="0" fontId="14" fillId="5" borderId="77"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12" borderId="24" xfId="0" applyFont="1" applyFill="1" applyBorder="1" applyAlignment="1">
      <alignment horizontal="center" vertical="center" wrapText="1"/>
    </xf>
    <xf numFmtId="164" fontId="0" fillId="25" borderId="18" xfId="0" applyNumberForma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12" borderId="39" xfId="0" applyFill="1" applyBorder="1" applyAlignment="1">
      <alignment horizontal="center" vertical="center" wrapText="1"/>
    </xf>
    <xf numFmtId="0" fontId="0" fillId="2" borderId="26" xfId="0" applyFill="1" applyBorder="1" applyAlignment="1">
      <alignment horizontal="center" vertical="center" wrapText="1"/>
    </xf>
    <xf numFmtId="0" fontId="0" fillId="12" borderId="13" xfId="0" applyFill="1" applyBorder="1" applyAlignment="1">
      <alignment horizontal="center" vertical="center" wrapText="1"/>
    </xf>
    <xf numFmtId="0" fontId="14" fillId="12" borderId="1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9" xfId="0" applyFont="1" applyFill="1" applyBorder="1" applyAlignment="1">
      <alignment horizontal="center" vertical="center" wrapText="1"/>
    </xf>
    <xf numFmtId="2" fontId="0" fillId="12" borderId="18" xfId="0" applyNumberFormat="1" applyFill="1" applyBorder="1" applyAlignment="1">
      <alignment horizontal="center" vertical="center" wrapText="1"/>
    </xf>
    <xf numFmtId="0" fontId="14" fillId="12" borderId="38" xfId="0" applyFont="1" applyFill="1" applyBorder="1" applyAlignment="1">
      <alignment horizontal="center" vertical="center" wrapText="1"/>
    </xf>
    <xf numFmtId="0" fontId="0" fillId="12" borderId="38" xfId="0" applyFill="1" applyBorder="1" applyAlignment="1">
      <alignment horizontal="center" vertical="center" wrapText="1"/>
    </xf>
    <xf numFmtId="0" fontId="14" fillId="5" borderId="20" xfId="0" applyFont="1" applyFill="1" applyBorder="1" applyAlignment="1">
      <alignment horizontal="center" vertical="center" wrapText="1"/>
    </xf>
    <xf numFmtId="0" fontId="24" fillId="7" borderId="26" xfId="21" applyFont="1" applyFill="1" applyBorder="1" applyAlignment="1">
      <alignment horizontal="center" vertical="center" wrapText="1"/>
    </xf>
    <xf numFmtId="165" fontId="5" fillId="0" borderId="5" xfId="0" applyNumberFormat="1" applyFont="1" applyBorder="1" applyAlignment="1">
      <alignment horizontal="center" vertical="center"/>
    </xf>
    <xf numFmtId="165" fontId="5" fillId="0" borderId="45" xfId="0" applyNumberFormat="1" applyFont="1" applyBorder="1" applyAlignment="1">
      <alignment horizontal="center" vertical="center"/>
    </xf>
    <xf numFmtId="0" fontId="25" fillId="7" borderId="54" xfId="0" applyFont="1" applyFill="1" applyBorder="1" applyAlignment="1">
      <alignment horizontal="center" vertical="center"/>
    </xf>
    <xf numFmtId="165" fontId="25" fillId="7" borderId="54" xfId="0" applyNumberFormat="1" applyFont="1" applyFill="1" applyBorder="1" applyAlignment="1">
      <alignment horizontal="center" vertical="center" wrapText="1"/>
    </xf>
    <xf numFmtId="165" fontId="25" fillId="7" borderId="16" xfId="0" applyNumberFormat="1" applyFont="1" applyFill="1" applyBorder="1" applyAlignment="1">
      <alignment horizontal="center" wrapText="1"/>
    </xf>
    <xf numFmtId="0" fontId="0" fillId="0" borderId="49" xfId="0" applyBorder="1" applyAlignment="1">
      <alignment horizontal="left" vertical="center"/>
    </xf>
    <xf numFmtId="165" fontId="5" fillId="0" borderId="63" xfId="0" applyNumberFormat="1" applyFont="1" applyBorder="1" applyAlignment="1">
      <alignment vertical="center"/>
    </xf>
    <xf numFmtId="165" fontId="5" fillId="0" borderId="41" xfId="0" applyNumberFormat="1" applyFont="1" applyBorder="1" applyAlignment="1">
      <alignment vertical="center"/>
    </xf>
    <xf numFmtId="165" fontId="5" fillId="0" borderId="42" xfId="0" applyNumberFormat="1" applyFont="1" applyBorder="1" applyAlignment="1">
      <alignment vertical="center"/>
    </xf>
    <xf numFmtId="165" fontId="5" fillId="0" borderId="34" xfId="0" applyNumberFormat="1" applyFont="1" applyBorder="1" applyAlignment="1">
      <alignment horizontal="center" vertical="center"/>
    </xf>
    <xf numFmtId="165" fontId="5" fillId="0" borderId="36" xfId="0" applyNumberFormat="1" applyFont="1" applyBorder="1" applyAlignment="1">
      <alignment vertical="center"/>
    </xf>
    <xf numFmtId="165" fontId="5" fillId="25" borderId="36" xfId="0" applyNumberFormat="1" applyFont="1" applyFill="1" applyBorder="1" applyAlignment="1">
      <alignment horizontal="center" vertical="center" wrapText="1"/>
    </xf>
    <xf numFmtId="10" fontId="5" fillId="0" borderId="37" xfId="32" applyNumberFormat="1" applyFont="1" applyFill="1" applyBorder="1" applyAlignment="1">
      <alignment horizontal="center" vertical="center" wrapText="1"/>
    </xf>
    <xf numFmtId="0" fontId="9" fillId="13" borderId="33" xfId="0" applyFont="1" applyFill="1" applyBorder="1" applyAlignment="1">
      <alignment vertical="center" wrapText="1"/>
    </xf>
    <xf numFmtId="0" fontId="28" fillId="6" borderId="53" xfId="0" applyFont="1" applyFill="1" applyBorder="1" applyAlignment="1">
      <alignment vertical="center"/>
    </xf>
    <xf numFmtId="0" fontId="28" fillId="6" borderId="44" xfId="0" applyFont="1" applyFill="1" applyBorder="1" applyAlignment="1">
      <alignment vertical="center"/>
    </xf>
    <xf numFmtId="0" fontId="28" fillId="6" borderId="9" xfId="0" applyFont="1" applyFill="1" applyBorder="1" applyAlignment="1">
      <alignment vertical="center"/>
    </xf>
    <xf numFmtId="0" fontId="0" fillId="26" borderId="28" xfId="0" applyFill="1" applyBorder="1" applyAlignment="1" applyProtection="1">
      <alignment horizontal="center" vertical="center" wrapText="1"/>
      <protection locked="0"/>
    </xf>
    <xf numFmtId="0" fontId="0" fillId="26" borderId="20" xfId="0" applyFill="1" applyBorder="1" applyAlignment="1" applyProtection="1">
      <alignment horizontal="center" vertical="center" wrapText="1"/>
      <protection locked="0"/>
    </xf>
    <xf numFmtId="0" fontId="0" fillId="26" borderId="15" xfId="0" applyFill="1" applyBorder="1" applyAlignment="1" applyProtection="1">
      <alignment horizontal="center" vertical="center" wrapText="1"/>
      <protection locked="0"/>
    </xf>
    <xf numFmtId="0" fontId="0" fillId="26" borderId="11" xfId="0" applyFill="1" applyBorder="1" applyAlignment="1" applyProtection="1">
      <alignment horizontal="center" vertical="center" wrapText="1"/>
      <protection locked="0"/>
    </xf>
    <xf numFmtId="0" fontId="25" fillId="7" borderId="24" xfId="0" applyFont="1" applyFill="1" applyBorder="1" applyAlignment="1">
      <alignment horizontal="center" vertical="center" wrapText="1"/>
    </xf>
    <xf numFmtId="165" fontId="25" fillId="7" borderId="24" xfId="0" applyNumberFormat="1" applyFont="1" applyFill="1" applyBorder="1" applyAlignment="1">
      <alignment horizontal="center" vertical="center" wrapText="1"/>
    </xf>
    <xf numFmtId="165" fontId="25" fillId="7" borderId="19"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81" xfId="0" applyBorder="1" applyAlignment="1">
      <alignment horizontal="center" vertical="center" wrapText="1"/>
    </xf>
    <xf numFmtId="0" fontId="0" fillId="28" borderId="45" xfId="0" applyFill="1" applyBorder="1" applyAlignment="1">
      <alignment horizontal="center"/>
    </xf>
    <xf numFmtId="0" fontId="0" fillId="28" borderId="38" xfId="0" applyFill="1" applyBorder="1" applyAlignment="1">
      <alignment horizontal="center"/>
    </xf>
    <xf numFmtId="0" fontId="0" fillId="23" borderId="45" xfId="0" applyFill="1" applyBorder="1" applyAlignment="1">
      <alignment horizontal="center"/>
    </xf>
    <xf numFmtId="0" fontId="0" fillId="23" borderId="38" xfId="0" applyFill="1" applyBorder="1" applyAlignment="1">
      <alignment horizontal="center"/>
    </xf>
    <xf numFmtId="165" fontId="0" fillId="25" borderId="34" xfId="0" applyNumberForma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16" xfId="0" applyFont="1" applyFill="1" applyBorder="1" applyAlignment="1">
      <alignment horizontal="center" vertical="center" wrapText="1"/>
    </xf>
    <xf numFmtId="165" fontId="0" fillId="25" borderId="39" xfId="0" applyNumberFormat="1" applyFill="1" applyBorder="1" applyAlignment="1">
      <alignment horizontal="center" vertical="center" wrapText="1"/>
    </xf>
    <xf numFmtId="0" fontId="12" fillId="5" borderId="60" xfId="0" applyFont="1" applyFill="1" applyBorder="1" applyAlignment="1">
      <alignment horizontal="center" vertical="center" wrapText="1"/>
    </xf>
    <xf numFmtId="0" fontId="24" fillId="32" borderId="28" xfId="0" applyFont="1" applyFill="1" applyBorder="1" applyAlignment="1">
      <alignment horizontal="center" vertical="center" wrapText="1"/>
    </xf>
    <xf numFmtId="0" fontId="24" fillId="32" borderId="11" xfId="0" applyFont="1" applyFill="1" applyBorder="1" applyAlignment="1">
      <alignment horizontal="center" vertical="center" wrapText="1"/>
    </xf>
    <xf numFmtId="168" fontId="5" fillId="0" borderId="39" xfId="0" applyNumberFormat="1" applyFont="1" applyBorder="1" applyAlignment="1" applyProtection="1">
      <alignment horizontal="center" vertical="center"/>
      <protection locked="0"/>
    </xf>
    <xf numFmtId="168" fontId="5" fillId="0" borderId="26" xfId="0" applyNumberFormat="1" applyFont="1" applyBorder="1" applyAlignment="1" applyProtection="1">
      <alignment horizontal="center" vertical="center"/>
      <protection locked="0"/>
    </xf>
    <xf numFmtId="168" fontId="0" fillId="0" borderId="24" xfId="0" applyNumberFormat="1" applyBorder="1" applyAlignment="1" applyProtection="1">
      <alignment horizontal="center" vertical="center"/>
      <protection locked="0"/>
    </xf>
    <xf numFmtId="168" fontId="0" fillId="0" borderId="19" xfId="0" applyNumberFormat="1" applyBorder="1" applyAlignment="1" applyProtection="1">
      <alignment horizontal="center" vertical="center"/>
      <protection locked="0"/>
    </xf>
    <xf numFmtId="0" fontId="5" fillId="12" borderId="31" xfId="0" applyFont="1" applyFill="1" applyBorder="1" applyAlignment="1">
      <alignment vertical="center"/>
    </xf>
    <xf numFmtId="0" fontId="0" fillId="7" borderId="15" xfId="0" applyFill="1" applyBorder="1" applyAlignment="1">
      <alignment horizontal="center" vertical="center" wrapText="1"/>
    </xf>
    <xf numFmtId="0" fontId="0" fillId="7" borderId="71" xfId="0" applyFill="1" applyBorder="1" applyAlignment="1">
      <alignment horizontal="center" vertical="center" wrapText="1"/>
    </xf>
    <xf numFmtId="0" fontId="0" fillId="19" borderId="15" xfId="0" applyFill="1" applyBorder="1" applyAlignment="1">
      <alignment horizontal="center" vertical="center" wrapText="1"/>
    </xf>
    <xf numFmtId="2" fontId="4" fillId="7" borderId="79" xfId="0" applyNumberFormat="1" applyFont="1" applyFill="1" applyBorder="1" applyAlignment="1">
      <alignment horizontal="center" vertical="center"/>
    </xf>
    <xf numFmtId="0" fontId="0" fillId="0" borderId="60" xfId="0" applyBorder="1" applyAlignment="1" applyProtection="1">
      <alignment horizontal="center" vertical="center" wrapText="1"/>
      <protection locked="0"/>
    </xf>
    <xf numFmtId="0" fontId="0" fillId="7" borderId="44" xfId="0" applyFill="1" applyBorder="1" applyAlignment="1">
      <alignment horizontal="center" vertical="center" wrapText="1"/>
    </xf>
    <xf numFmtId="0" fontId="0" fillId="7" borderId="7" xfId="0" applyFill="1" applyBorder="1" applyAlignment="1" applyProtection="1">
      <alignment horizontal="center" vertical="center" wrapText="1"/>
      <protection locked="0"/>
    </xf>
    <xf numFmtId="2" fontId="4" fillId="7" borderId="7" xfId="0" applyNumberFormat="1" applyFont="1" applyFill="1" applyBorder="1" applyAlignment="1">
      <alignment horizontal="center" vertical="center"/>
    </xf>
    <xf numFmtId="165" fontId="0" fillId="25" borderId="8" xfId="0" applyNumberFormat="1" applyFill="1" applyBorder="1" applyAlignment="1">
      <alignment horizontal="center" vertical="center" wrapText="1"/>
    </xf>
    <xf numFmtId="0" fontId="0" fillId="0" borderId="40" xfId="0" applyBorder="1" applyAlignment="1" applyProtection="1">
      <alignment horizontal="center" vertical="center" wrapText="1"/>
      <protection locked="0"/>
    </xf>
    <xf numFmtId="0" fontId="24" fillId="7" borderId="29" xfId="21" applyFont="1" applyFill="1" applyBorder="1" applyAlignment="1">
      <alignment horizontal="center" vertical="center" wrapText="1"/>
    </xf>
    <xf numFmtId="2" fontId="0" fillId="25" borderId="24" xfId="0" applyNumberFormat="1" applyFill="1" applyBorder="1" applyAlignment="1">
      <alignment horizontal="center" vertical="center" wrapText="1"/>
    </xf>
    <xf numFmtId="164" fontId="0" fillId="25" borderId="24"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25" borderId="54" xfId="0" applyNumberFormat="1" applyFill="1" applyBorder="1" applyAlignment="1">
      <alignment horizontal="center" vertical="center" wrapText="1"/>
    </xf>
    <xf numFmtId="164" fontId="0" fillId="25" borderId="54" xfId="0" applyNumberFormat="1" applyFill="1" applyBorder="1" applyAlignment="1">
      <alignment horizontal="center" vertical="center" wrapText="1"/>
    </xf>
    <xf numFmtId="2" fontId="0" fillId="25" borderId="53" xfId="0" applyNumberFormat="1" applyFill="1" applyBorder="1" applyAlignment="1">
      <alignment horizontal="center" vertical="center" wrapText="1"/>
    </xf>
    <xf numFmtId="165" fontId="0" fillId="25" borderId="9" xfId="0" applyNumberFormat="1" applyFill="1" applyBorder="1" applyAlignment="1">
      <alignment horizontal="center" vertical="center" wrapText="1"/>
    </xf>
    <xf numFmtId="0" fontId="0" fillId="12" borderId="0" xfId="0" applyFill="1" applyAlignment="1">
      <alignment vertical="center" wrapTex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19" borderId="25" xfId="0" applyFill="1" applyBorder="1" applyAlignment="1">
      <alignment horizontal="center" vertical="center" wrapText="1"/>
    </xf>
    <xf numFmtId="0" fontId="0" fillId="7" borderId="48" xfId="0" applyFill="1" applyBorder="1" applyAlignment="1">
      <alignment horizontal="center" vertical="center" wrapText="1"/>
    </xf>
    <xf numFmtId="2" fontId="4" fillId="7" borderId="48" xfId="0" applyNumberFormat="1" applyFont="1" applyFill="1" applyBorder="1" applyAlignment="1">
      <alignment horizontal="center" vertical="center"/>
    </xf>
    <xf numFmtId="0" fontId="0" fillId="7" borderId="77" xfId="0" applyFill="1" applyBorder="1" applyAlignment="1">
      <alignment horizontal="center" vertical="center" wrapText="1"/>
    </xf>
    <xf numFmtId="2" fontId="4" fillId="7" borderId="10" xfId="0" applyNumberFormat="1" applyFont="1" applyFill="1" applyBorder="1" applyAlignment="1">
      <alignment horizontal="center" vertical="center"/>
    </xf>
    <xf numFmtId="165" fontId="0" fillId="25" borderId="76" xfId="0" applyNumberFormat="1" applyFill="1" applyBorder="1" applyAlignment="1">
      <alignment horizontal="center" vertical="center" wrapText="1"/>
    </xf>
    <xf numFmtId="2" fontId="4" fillId="7" borderId="5" xfId="0" applyNumberFormat="1" applyFont="1" applyFill="1" applyBorder="1" applyAlignment="1">
      <alignment horizontal="center" vertical="center"/>
    </xf>
    <xf numFmtId="2" fontId="4" fillId="7" borderId="34" xfId="0" applyNumberFormat="1" applyFont="1" applyFill="1" applyBorder="1" applyAlignment="1">
      <alignment horizontal="center" vertical="center"/>
    </xf>
    <xf numFmtId="165" fontId="0" fillId="25" borderId="18" xfId="0" applyNumberFormat="1" applyFill="1" applyBorder="1" applyAlignment="1">
      <alignment horizontal="center" vertical="center" wrapText="1"/>
    </xf>
    <xf numFmtId="0" fontId="14" fillId="5" borderId="33" xfId="0" applyFont="1" applyFill="1" applyBorder="1" applyAlignment="1">
      <alignment horizontal="center" vertical="center"/>
    </xf>
    <xf numFmtId="165" fontId="0" fillId="25" borderId="54" xfId="0" applyNumberFormat="1" applyFill="1" applyBorder="1" applyAlignment="1">
      <alignment horizontal="center" vertical="center" wrapText="1"/>
    </xf>
    <xf numFmtId="0" fontId="25" fillId="32" borderId="59" xfId="1" applyFont="1" applyFill="1" applyBorder="1" applyAlignment="1">
      <alignment horizontal="center" vertical="center"/>
    </xf>
    <xf numFmtId="0" fontId="25" fillId="32" borderId="60" xfId="1" applyFont="1" applyFill="1" applyBorder="1" applyAlignment="1">
      <alignment horizontal="center" vertical="center"/>
    </xf>
    <xf numFmtId="0" fontId="25" fillId="32" borderId="21" xfId="1" applyFont="1" applyFill="1" applyBorder="1" applyAlignment="1">
      <alignment horizontal="center" vertical="center"/>
    </xf>
    <xf numFmtId="0" fontId="25" fillId="32" borderId="23" xfId="1" applyFont="1" applyFill="1" applyBorder="1" applyAlignment="1">
      <alignment horizontal="center" vertical="center"/>
    </xf>
    <xf numFmtId="0" fontId="11" fillId="14" borderId="65" xfId="1" applyFont="1" applyFill="1" applyBorder="1" applyAlignment="1">
      <alignment horizontal="center" vertical="center"/>
    </xf>
    <xf numFmtId="0" fontId="11" fillId="14" borderId="64" xfId="1" applyFont="1" applyFill="1" applyBorder="1" applyAlignment="1">
      <alignment horizontal="center" vertical="center"/>
    </xf>
    <xf numFmtId="0" fontId="11" fillId="14" borderId="82" xfId="1" applyFont="1" applyFill="1" applyBorder="1" applyAlignment="1">
      <alignment horizontal="center" vertical="center"/>
    </xf>
    <xf numFmtId="0" fontId="11" fillId="14" borderId="68" xfId="1" applyFont="1" applyFill="1" applyBorder="1" applyAlignment="1">
      <alignment horizontal="center" vertical="center"/>
    </xf>
    <xf numFmtId="0" fontId="11" fillId="14" borderId="17" xfId="1" applyFont="1" applyFill="1" applyBorder="1" applyAlignment="1">
      <alignment horizontal="center" vertical="center"/>
    </xf>
    <xf numFmtId="0" fontId="11" fillId="14" borderId="46" xfId="1" applyFont="1" applyFill="1" applyBorder="1" applyAlignment="1">
      <alignment horizontal="center" vertical="center"/>
    </xf>
    <xf numFmtId="0" fontId="0" fillId="31" borderId="11" xfId="0" applyFill="1" applyBorder="1" applyAlignment="1">
      <alignment horizontal="center"/>
    </xf>
    <xf numFmtId="0" fontId="0" fillId="31" borderId="13" xfId="0" applyFill="1" applyBorder="1" applyAlignment="1">
      <alignment horizontal="center"/>
    </xf>
    <xf numFmtId="0" fontId="36" fillId="30" borderId="13" xfId="0" applyFont="1" applyFill="1" applyBorder="1" applyAlignment="1">
      <alignment horizontal="center" vertical="center"/>
    </xf>
    <xf numFmtId="0" fontId="36" fillId="30" borderId="14" xfId="0" applyFont="1" applyFill="1" applyBorder="1" applyAlignment="1">
      <alignment horizontal="center" vertical="center"/>
    </xf>
    <xf numFmtId="0" fontId="27" fillId="27" borderId="45" xfId="0" applyFont="1" applyFill="1" applyBorder="1" applyAlignment="1">
      <alignment horizontal="center" vertical="center"/>
    </xf>
    <xf numFmtId="0" fontId="27" fillId="27" borderId="38" xfId="0" applyFont="1" applyFill="1" applyBorder="1" applyAlignment="1">
      <alignment horizontal="center" vertical="center"/>
    </xf>
    <xf numFmtId="0" fontId="36" fillId="30" borderId="27" xfId="0" applyFont="1" applyFill="1" applyBorder="1" applyAlignment="1">
      <alignment horizontal="center" vertical="center"/>
    </xf>
    <xf numFmtId="0" fontId="36" fillId="30" borderId="41" xfId="0" applyFont="1" applyFill="1" applyBorder="1" applyAlignment="1">
      <alignment horizontal="center" vertical="center"/>
    </xf>
    <xf numFmtId="0" fontId="36" fillId="30" borderId="56" xfId="0" applyFont="1" applyFill="1" applyBorder="1" applyAlignment="1">
      <alignment horizontal="center" vertical="center"/>
    </xf>
    <xf numFmtId="0" fontId="0" fillId="12" borderId="0" xfId="0" applyFill="1" applyAlignment="1">
      <alignment horizontal="center" vertical="top" wrapText="1"/>
    </xf>
    <xf numFmtId="49" fontId="4" fillId="12" borderId="0" xfId="0" applyNumberFormat="1" applyFont="1" applyFill="1" applyAlignment="1">
      <alignment horizontal="center"/>
    </xf>
    <xf numFmtId="0" fontId="4" fillId="12" borderId="0" xfId="0" applyFont="1" applyFill="1" applyAlignment="1">
      <alignment horizontal="center"/>
    </xf>
    <xf numFmtId="0" fontId="0" fillId="12" borderId="0" xfId="0" applyFill="1" applyAlignment="1">
      <alignment horizontal="center" vertical="top"/>
    </xf>
    <xf numFmtId="0" fontId="45" fillId="12" borderId="0" xfId="0" applyFont="1" applyFill="1" applyAlignment="1">
      <alignment horizontal="center" vertical="center"/>
    </xf>
    <xf numFmtId="0" fontId="6" fillId="12" borderId="0" xfId="0" applyFont="1" applyFill="1" applyAlignment="1">
      <alignment horizontal="center"/>
    </xf>
    <xf numFmtId="0" fontId="8" fillId="12" borderId="0" xfId="0" applyFont="1" applyFill="1" applyAlignment="1">
      <alignment horizontal="center" vertical="center" wrapText="1"/>
    </xf>
    <xf numFmtId="0" fontId="8" fillId="12" borderId="0" xfId="0" applyFont="1" applyFill="1" applyAlignment="1">
      <alignment horizontal="center" vertical="center"/>
    </xf>
    <xf numFmtId="0" fontId="28" fillId="12" borderId="0" xfId="0" applyFont="1" applyFill="1" applyAlignment="1">
      <alignment horizontal="center" vertical="center"/>
    </xf>
    <xf numFmtId="0" fontId="2" fillId="12" borderId="0" xfId="0" applyFont="1" applyFill="1" applyAlignment="1">
      <alignment horizontal="center"/>
    </xf>
    <xf numFmtId="0" fontId="0" fillId="12" borderId="0" xfId="0" applyFill="1" applyAlignment="1">
      <alignment horizontal="left" vertical="top" wrapText="1"/>
    </xf>
    <xf numFmtId="0" fontId="18" fillId="0" borderId="30"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1" fillId="14" borderId="74" xfId="1" applyFont="1" applyFill="1" applyBorder="1" applyAlignment="1">
      <alignment horizontal="center" vertical="center"/>
    </xf>
    <xf numFmtId="0" fontId="11" fillId="14" borderId="31" xfId="1" applyFont="1" applyFill="1" applyBorder="1" applyAlignment="1">
      <alignment horizontal="center" vertical="center"/>
    </xf>
    <xf numFmtId="0" fontId="11" fillId="14" borderId="32" xfId="1" applyFont="1" applyFill="1" applyBorder="1" applyAlignment="1">
      <alignment horizontal="center" vertical="center"/>
    </xf>
    <xf numFmtId="0" fontId="36" fillId="29" borderId="28" xfId="0" applyFont="1" applyFill="1" applyBorder="1" applyAlignment="1">
      <alignment horizontal="center" vertical="center"/>
    </xf>
    <xf numFmtId="0" fontId="36" fillId="29" borderId="18" xfId="0" applyFont="1" applyFill="1" applyBorder="1" applyAlignment="1">
      <alignment horizontal="center" vertical="center"/>
    </xf>
    <xf numFmtId="0" fontId="36" fillId="30" borderId="18" xfId="0" applyFont="1" applyFill="1" applyBorder="1" applyAlignment="1">
      <alignment horizontal="center" vertical="center"/>
    </xf>
    <xf numFmtId="0" fontId="36" fillId="30" borderId="29" xfId="0" applyFont="1" applyFill="1" applyBorder="1" applyAlignment="1">
      <alignment horizontal="center" vertical="center"/>
    </xf>
    <xf numFmtId="0" fontId="25" fillId="25" borderId="59" xfId="1" applyFont="1" applyFill="1" applyBorder="1" applyAlignment="1">
      <alignment horizontal="center" vertical="center"/>
    </xf>
    <xf numFmtId="0" fontId="25" fillId="25" borderId="60" xfId="1" applyFont="1" applyFill="1" applyBorder="1" applyAlignment="1">
      <alignment horizontal="center" vertical="center"/>
    </xf>
    <xf numFmtId="0" fontId="25" fillId="25" borderId="21" xfId="1" applyFont="1" applyFill="1" applyBorder="1" applyAlignment="1">
      <alignment horizontal="center" vertical="center"/>
    </xf>
    <xf numFmtId="0" fontId="25" fillId="25" borderId="23" xfId="1" applyFont="1" applyFill="1" applyBorder="1" applyAlignment="1">
      <alignment horizontal="center" vertical="center"/>
    </xf>
    <xf numFmtId="0" fontId="11" fillId="30" borderId="65" xfId="1" applyFont="1" applyFill="1" applyBorder="1" applyAlignment="1">
      <alignment horizontal="center" vertical="center"/>
    </xf>
    <xf numFmtId="0" fontId="11" fillId="30" borderId="64" xfId="1" applyFont="1" applyFill="1" applyBorder="1" applyAlignment="1">
      <alignment horizontal="center" vertical="center"/>
    </xf>
    <xf numFmtId="0" fontId="11" fillId="30" borderId="82" xfId="1" applyFont="1" applyFill="1" applyBorder="1" applyAlignment="1">
      <alignment horizontal="center" vertical="center"/>
    </xf>
    <xf numFmtId="0" fontId="11" fillId="30" borderId="68" xfId="1" applyFont="1" applyFill="1" applyBorder="1" applyAlignment="1">
      <alignment horizontal="center" vertical="center"/>
    </xf>
    <xf numFmtId="0" fontId="11" fillId="30" borderId="17" xfId="1" applyFont="1" applyFill="1" applyBorder="1" applyAlignment="1">
      <alignment horizontal="center" vertical="center"/>
    </xf>
    <xf numFmtId="0" fontId="11" fillId="30" borderId="46" xfId="1" applyFont="1" applyFill="1" applyBorder="1" applyAlignment="1">
      <alignment horizontal="center" vertical="center"/>
    </xf>
    <xf numFmtId="0" fontId="5" fillId="12" borderId="0" xfId="0" applyFont="1" applyFill="1" applyAlignment="1">
      <alignment horizontal="center" vertical="center" wrapText="1"/>
    </xf>
    <xf numFmtId="0" fontId="5" fillId="12" borderId="3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5" fillId="12" borderId="33" xfId="0" applyFont="1" applyFill="1" applyBorder="1" applyAlignment="1">
      <alignment horizontal="center" vertical="center"/>
    </xf>
    <xf numFmtId="0" fontId="5" fillId="12" borderId="0" xfId="0" applyFont="1" applyFill="1" applyAlignment="1">
      <alignment horizontal="center" vertical="center"/>
    </xf>
    <xf numFmtId="0" fontId="22" fillId="5" borderId="45" xfId="1" applyFont="1" applyFill="1" applyBorder="1" applyAlignment="1">
      <alignment horizontal="center" vertical="center"/>
    </xf>
    <xf numFmtId="0" fontId="22" fillId="5" borderId="56" xfId="1" applyFont="1" applyFill="1" applyBorder="1" applyAlignment="1">
      <alignment horizontal="center" vertical="center"/>
    </xf>
    <xf numFmtId="0" fontId="22" fillId="5" borderId="5" xfId="1" applyFont="1" applyFill="1" applyBorder="1" applyAlignment="1">
      <alignment horizontal="center" vertical="center"/>
    </xf>
    <xf numFmtId="0" fontId="22" fillId="5" borderId="6" xfId="1" applyFont="1" applyFill="1" applyBorder="1" applyAlignment="1">
      <alignment horizontal="center" vertical="center"/>
    </xf>
    <xf numFmtId="0" fontId="22" fillId="5" borderId="47" xfId="1" applyFont="1" applyFill="1" applyBorder="1" applyAlignment="1">
      <alignment horizontal="center" vertical="center"/>
    </xf>
    <xf numFmtId="0" fontId="22" fillId="5" borderId="55" xfId="1" applyFont="1" applyFill="1" applyBorder="1" applyAlignment="1">
      <alignment horizontal="center" vertical="center"/>
    </xf>
    <xf numFmtId="0" fontId="42" fillId="12" borderId="0" xfId="0" applyFont="1" applyFill="1" applyAlignment="1">
      <alignment horizontal="center" vertical="center"/>
    </xf>
    <xf numFmtId="0" fontId="22" fillId="5" borderId="1" xfId="0" applyFont="1" applyFill="1" applyBorder="1" applyAlignment="1">
      <alignment horizontal="center" vertical="center"/>
    </xf>
    <xf numFmtId="0" fontId="22" fillId="5" borderId="40" xfId="0" applyFont="1" applyFill="1" applyBorder="1" applyAlignment="1">
      <alignment horizontal="center" vertical="center"/>
    </xf>
    <xf numFmtId="0" fontId="2" fillId="12" borderId="33" xfId="0" applyFont="1" applyFill="1" applyBorder="1" applyAlignment="1">
      <alignment horizontal="center" vertical="center" wrapText="1"/>
    </xf>
    <xf numFmtId="0" fontId="2" fillId="12" borderId="0" xfId="0" applyFont="1" applyFill="1" applyAlignment="1">
      <alignment horizontal="center" vertical="center" wrapText="1"/>
    </xf>
    <xf numFmtId="0" fontId="0" fillId="0" borderId="53"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22" fillId="23" borderId="13" xfId="0" applyFont="1" applyFill="1" applyBorder="1" applyAlignment="1">
      <alignment horizontal="center" vertical="center"/>
    </xf>
    <xf numFmtId="0" fontId="22" fillId="23" borderId="14" xfId="0" applyFont="1" applyFill="1" applyBorder="1" applyAlignment="1">
      <alignment horizontal="center" vertical="center"/>
    </xf>
    <xf numFmtId="0" fontId="22" fillId="23" borderId="39" xfId="0" applyFont="1" applyFill="1" applyBorder="1" applyAlignment="1">
      <alignment horizontal="center" vertical="center"/>
    </xf>
    <xf numFmtId="0" fontId="22" fillId="23" borderId="26" xfId="0" applyFont="1" applyFill="1" applyBorder="1" applyAlignment="1">
      <alignment horizontal="center" vertical="center"/>
    </xf>
    <xf numFmtId="0" fontId="19" fillId="0" borderId="27" xfId="0" applyFont="1" applyBorder="1" applyAlignment="1" applyProtection="1">
      <alignment horizontal="center" vertical="center" wrapText="1"/>
      <protection locked="0"/>
    </xf>
    <xf numFmtId="0" fontId="19" fillId="0" borderId="56" xfId="0" applyFont="1" applyBorder="1" applyAlignment="1" applyProtection="1">
      <alignment horizontal="center" vertical="center" wrapText="1"/>
      <protection locked="0"/>
    </xf>
    <xf numFmtId="0" fontId="19" fillId="0" borderId="61"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12" fillId="23" borderId="25" xfId="0" applyFont="1" applyFill="1" applyBorder="1" applyAlignment="1">
      <alignment horizontal="center" vertical="center"/>
    </xf>
    <xf numFmtId="0" fontId="12" fillId="23" borderId="11" xfId="0" applyFont="1" applyFill="1" applyBorder="1" applyAlignment="1">
      <alignment horizontal="center" vertical="center"/>
    </xf>
    <xf numFmtId="0" fontId="22" fillId="5" borderId="11" xfId="0" applyFont="1" applyFill="1" applyBorder="1" applyAlignment="1">
      <alignment horizontal="center"/>
    </xf>
    <xf numFmtId="0" fontId="22" fillId="5" borderId="13" xfId="0" applyFont="1" applyFill="1" applyBorder="1" applyAlignment="1">
      <alignment horizontal="center"/>
    </xf>
    <xf numFmtId="0" fontId="22" fillId="5" borderId="25" xfId="0" applyFont="1" applyFill="1" applyBorder="1" applyAlignment="1">
      <alignment horizontal="center"/>
    </xf>
    <xf numFmtId="0" fontId="22" fillId="5" borderId="39" xfId="0" applyFont="1" applyFill="1" applyBorder="1" applyAlignment="1">
      <alignment horizontal="center"/>
    </xf>
    <xf numFmtId="0" fontId="36" fillId="0" borderId="0" xfId="0" applyFont="1" applyAlignment="1">
      <alignment horizontal="center" vertical="center" wrapText="1"/>
    </xf>
    <xf numFmtId="0" fontId="28" fillId="12" borderId="33" xfId="0" applyFont="1" applyFill="1" applyBorder="1" applyAlignment="1">
      <alignment horizontal="center" vertical="center"/>
    </xf>
    <xf numFmtId="0" fontId="12" fillId="23" borderId="20" xfId="0" applyFont="1" applyFill="1" applyBorder="1" applyAlignment="1">
      <alignment horizontal="center" vertical="center"/>
    </xf>
    <xf numFmtId="0" fontId="12" fillId="23" borderId="15"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0" fillId="2" borderId="2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2" fillId="12" borderId="31" xfId="0"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165" fontId="0" fillId="25" borderId="24" xfId="0" applyNumberFormat="1" applyFill="1" applyBorder="1" applyAlignment="1">
      <alignment horizontal="center" vertical="center" wrapText="1"/>
    </xf>
    <xf numFmtId="165" fontId="0" fillId="25" borderId="19" xfId="0" applyNumberFormat="1" applyFill="1" applyBorder="1" applyAlignment="1">
      <alignment horizontal="center" vertical="center" wrapText="1"/>
    </xf>
    <xf numFmtId="1" fontId="0" fillId="2" borderId="38" xfId="0" applyNumberFormat="1" applyFill="1" applyBorder="1" applyAlignment="1">
      <alignment horizontal="center" vertical="center" wrapText="1"/>
    </xf>
    <xf numFmtId="1" fontId="0" fillId="2" borderId="18" xfId="0" applyNumberFormat="1" applyFill="1" applyBorder="1" applyAlignment="1">
      <alignment horizontal="center" vertical="center" wrapText="1"/>
    </xf>
    <xf numFmtId="1" fontId="0" fillId="2" borderId="23" xfId="0" applyNumberFormat="1" applyFill="1" applyBorder="1" applyAlignment="1">
      <alignment horizontal="center" vertical="center" wrapText="1"/>
    </xf>
    <xf numFmtId="1" fontId="0" fillId="2" borderId="24" xfId="0" applyNumberForma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12" fillId="5" borderId="61" xfId="0" applyFont="1" applyFill="1" applyBorder="1" applyAlignment="1">
      <alignment horizontal="center" vertical="center" wrapText="1"/>
    </xf>
    <xf numFmtId="0" fontId="12" fillId="5" borderId="42" xfId="0" applyFont="1" applyFill="1" applyBorder="1" applyAlignment="1">
      <alignment horizontal="center" vertical="center" wrapText="1"/>
    </xf>
    <xf numFmtId="165" fontId="0" fillId="25" borderId="44" xfId="0" applyNumberFormat="1" applyFill="1" applyBorder="1" applyAlignment="1">
      <alignment horizontal="center" vertical="center" wrapText="1"/>
    </xf>
    <xf numFmtId="165" fontId="0" fillId="25" borderId="3" xfId="0" applyNumberFormat="1" applyFill="1" applyBorder="1" applyAlignment="1">
      <alignment horizontal="center" vertical="center" wrapText="1"/>
    </xf>
    <xf numFmtId="165" fontId="0" fillId="25" borderId="70" xfId="0" applyNumberFormat="1" applyFill="1" applyBorder="1" applyAlignment="1">
      <alignment horizontal="center" vertical="center" wrapText="1"/>
    </xf>
    <xf numFmtId="165" fontId="0" fillId="25" borderId="71" xfId="0" applyNumberFormat="1" applyFill="1" applyBorder="1" applyAlignment="1">
      <alignment horizontal="center" vertical="center" wrapText="1"/>
    </xf>
    <xf numFmtId="165" fontId="0" fillId="25" borderId="1" xfId="0" applyNumberFormat="1" applyFill="1" applyBorder="1" applyAlignment="1">
      <alignment horizontal="center" vertical="center" wrapText="1"/>
    </xf>
    <xf numFmtId="1" fontId="0" fillId="0" borderId="18" xfId="0" applyNumberFormat="1" applyBorder="1" applyAlignment="1" applyProtection="1">
      <alignment horizontal="center" vertical="center" wrapText="1"/>
      <protection locked="0"/>
    </xf>
    <xf numFmtId="1" fontId="0" fillId="0" borderId="24" xfId="0" applyNumberFormat="1" applyBorder="1" applyAlignment="1" applyProtection="1">
      <alignment horizontal="center" vertical="center" wrapText="1"/>
      <protection locked="0"/>
    </xf>
    <xf numFmtId="0" fontId="12" fillId="5" borderId="74" xfId="0" applyFont="1" applyFill="1" applyBorder="1" applyAlignment="1">
      <alignment horizontal="center" vertical="center" wrapText="1"/>
    </xf>
    <xf numFmtId="0" fontId="12" fillId="5" borderId="75"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4" fillId="0" borderId="1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44"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0" borderId="5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17" borderId="45" xfId="0" applyFont="1" applyFill="1" applyBorder="1" applyAlignment="1" applyProtection="1">
      <alignment horizontal="center" vertical="center"/>
      <protection locked="0"/>
    </xf>
    <xf numFmtId="0" fontId="4" fillId="17" borderId="56"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2" fillId="5" borderId="55" xfId="0" applyFont="1" applyFill="1" applyBorder="1" applyAlignment="1">
      <alignment horizontal="center" vertical="center" wrapText="1"/>
    </xf>
    <xf numFmtId="1" fontId="2" fillId="25" borderId="61" xfId="0" applyNumberFormat="1" applyFont="1" applyFill="1" applyBorder="1" applyAlignment="1">
      <alignment horizontal="center" vertical="center" wrapText="1"/>
    </xf>
    <xf numFmtId="1" fontId="2" fillId="25" borderId="12"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165" fontId="0" fillId="25" borderId="23" xfId="0" applyNumberFormat="1" applyFill="1" applyBorder="1" applyAlignment="1">
      <alignment horizontal="center" vertical="center" wrapText="1"/>
    </xf>
    <xf numFmtId="165" fontId="0" fillId="25" borderId="68" xfId="0" applyNumberFormat="1" applyFill="1" applyBorder="1" applyAlignment="1">
      <alignment horizontal="center" vertical="center" wrapText="1"/>
    </xf>
    <xf numFmtId="165" fontId="0" fillId="25" borderId="40" xfId="0" applyNumberFormat="1" applyFill="1" applyBorder="1" applyAlignment="1">
      <alignment horizontal="center" vertical="center" wrapText="1"/>
    </xf>
    <xf numFmtId="165" fontId="0" fillId="25" borderId="53" xfId="0" applyNumberForma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 fontId="2" fillId="25" borderId="13" xfId="0" applyNumberFormat="1" applyFont="1" applyFill="1" applyBorder="1" applyAlignment="1">
      <alignment horizontal="center" vertical="center" wrapText="1"/>
    </xf>
    <xf numFmtId="2" fontId="0" fillId="0" borderId="21" xfId="0" applyNumberFormat="1" applyBorder="1" applyAlignment="1" applyProtection="1">
      <alignment horizontal="center" vertical="center" wrapText="1"/>
      <protection locked="0"/>
    </xf>
    <xf numFmtId="2" fontId="0" fillId="0" borderId="17" xfId="0" applyNumberFormat="1" applyBorder="1" applyAlignment="1" applyProtection="1">
      <alignment horizontal="center" vertical="center" wrapText="1"/>
      <protection locked="0"/>
    </xf>
    <xf numFmtId="2" fontId="0" fillId="0" borderId="46" xfId="0" applyNumberFormat="1" applyBorder="1" applyAlignment="1" applyProtection="1">
      <alignment horizontal="center" vertical="center" wrapText="1"/>
      <protection locked="0"/>
    </xf>
    <xf numFmtId="0" fontId="5" fillId="0" borderId="42" xfId="0" applyFont="1" applyBorder="1" applyAlignment="1">
      <alignment horizontal="center" vertical="center"/>
    </xf>
    <xf numFmtId="0" fontId="5" fillId="0" borderId="55" xfId="0" applyFont="1" applyBorder="1" applyAlignment="1">
      <alignment horizontal="center" vertical="center"/>
    </xf>
    <xf numFmtId="0" fontId="5" fillId="0" borderId="63" xfId="0" applyFont="1" applyBorder="1" applyAlignment="1">
      <alignment horizontal="center" vertical="center"/>
    </xf>
    <xf numFmtId="0" fontId="5" fillId="0" borderId="6" xfId="0" applyFont="1" applyBorder="1" applyAlignment="1">
      <alignment horizontal="center" vertical="center"/>
    </xf>
    <xf numFmtId="0" fontId="10" fillId="3" borderId="0" xfId="0" applyFont="1" applyFill="1" applyAlignment="1">
      <alignment horizontal="center" vertical="center" textRotation="90"/>
    </xf>
    <xf numFmtId="0" fontId="12" fillId="5" borderId="67"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26" xfId="0" applyFont="1" applyFill="1" applyBorder="1" applyAlignment="1">
      <alignment horizontal="center" vertical="center"/>
    </xf>
    <xf numFmtId="0" fontId="10" fillId="3" borderId="0" xfId="0" applyFont="1" applyFill="1" applyAlignment="1">
      <alignment horizontal="center" vertical="center"/>
    </xf>
    <xf numFmtId="0" fontId="22" fillId="5" borderId="47" xfId="0" applyFont="1" applyFill="1" applyBorder="1" applyAlignment="1">
      <alignment horizontal="center" vertical="center" wrapText="1"/>
    </xf>
    <xf numFmtId="0" fontId="22" fillId="5" borderId="42"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62"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61" xfId="0" applyFont="1" applyFill="1" applyBorder="1" applyAlignment="1">
      <alignment horizontal="center" vertical="center"/>
    </xf>
    <xf numFmtId="0" fontId="12" fillId="23" borderId="61" xfId="0" applyFont="1" applyFill="1" applyBorder="1" applyAlignment="1">
      <alignment horizontal="center" vertical="center"/>
    </xf>
    <xf numFmtId="0" fontId="12" fillId="5" borderId="3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7" xfId="0" applyFont="1" applyFill="1" applyBorder="1" applyAlignment="1">
      <alignment horizontal="center" vertical="center" wrapText="1"/>
    </xf>
    <xf numFmtId="0" fontId="12" fillId="23" borderId="28" xfId="0" applyFont="1" applyFill="1" applyBorder="1" applyAlignment="1">
      <alignment horizontal="center" vertical="center"/>
    </xf>
    <xf numFmtId="0" fontId="12" fillId="23" borderId="27" xfId="0" applyFont="1" applyFill="1" applyBorder="1" applyAlignment="1">
      <alignment horizontal="center" vertical="center"/>
    </xf>
    <xf numFmtId="0" fontId="12" fillId="23" borderId="68" xfId="0" applyFont="1" applyFill="1" applyBorder="1" applyAlignment="1">
      <alignment horizontal="center" vertical="center"/>
    </xf>
    <xf numFmtId="0" fontId="12" fillId="5" borderId="26" xfId="0" applyFont="1" applyFill="1" applyBorder="1" applyAlignment="1">
      <alignment horizontal="center" vertical="center" wrapText="1"/>
    </xf>
    <xf numFmtId="2" fontId="0" fillId="7" borderId="1" xfId="0" applyNumberFormat="1" applyFill="1" applyBorder="1" applyAlignment="1">
      <alignment horizontal="center" vertical="center" wrapText="1"/>
    </xf>
    <xf numFmtId="2" fontId="0" fillId="7" borderId="2" xfId="0" applyNumberFormat="1" applyFill="1" applyBorder="1" applyAlignment="1">
      <alignment horizontal="center" vertical="center" wrapText="1"/>
    </xf>
    <xf numFmtId="2" fontId="0" fillId="7" borderId="3" xfId="0" applyNumberFormat="1" applyFill="1" applyBorder="1" applyAlignment="1">
      <alignment horizontal="center" vertical="center" wrapText="1"/>
    </xf>
    <xf numFmtId="0" fontId="12" fillId="5" borderId="25" xfId="0" applyFont="1" applyFill="1" applyBorder="1" applyAlignment="1">
      <alignment horizontal="center" vertical="center"/>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12" borderId="0" xfId="0" applyFont="1" applyFill="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0" fillId="0" borderId="2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2" fillId="5" borderId="67"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12" fillId="5" borderId="63" xfId="0" applyFont="1" applyFill="1" applyBorder="1" applyAlignment="1">
      <alignment horizontal="center" vertical="center" wrapText="1"/>
    </xf>
    <xf numFmtId="0" fontId="28" fillId="18" borderId="0" xfId="0" applyFont="1" applyFill="1" applyAlignment="1">
      <alignment horizontal="center" vertical="center" wrapText="1"/>
    </xf>
    <xf numFmtId="0" fontId="3" fillId="0" borderId="39" xfId="0" applyFont="1" applyBorder="1" applyAlignment="1">
      <alignment horizontal="center"/>
    </xf>
    <xf numFmtId="0" fontId="3" fillId="0" borderId="26" xfId="0" applyFont="1" applyBorder="1" applyAlignment="1">
      <alignment horizontal="center"/>
    </xf>
    <xf numFmtId="0" fontId="3" fillId="0" borderId="18" xfId="0" applyFont="1" applyBorder="1" applyAlignment="1">
      <alignment horizontal="center"/>
    </xf>
    <xf numFmtId="0" fontId="3" fillId="0" borderId="29" xfId="0" applyFont="1" applyBorder="1" applyAlignment="1">
      <alignment horizontal="center"/>
    </xf>
    <xf numFmtId="0" fontId="17" fillId="5" borderId="25"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23" borderId="59" xfId="0" applyFont="1" applyFill="1" applyBorder="1" applyAlignment="1">
      <alignment horizontal="center" vertical="center" wrapText="1"/>
    </xf>
    <xf numFmtId="0" fontId="17" fillId="23" borderId="64" xfId="0" applyFont="1" applyFill="1" applyBorder="1" applyAlignment="1">
      <alignment horizontal="center" vertical="center" wrapText="1"/>
    </xf>
    <xf numFmtId="0" fontId="17" fillId="23" borderId="60" xfId="0" applyFont="1" applyFill="1" applyBorder="1" applyAlignment="1">
      <alignment horizontal="center" vertical="center" wrapText="1"/>
    </xf>
    <xf numFmtId="0" fontId="17" fillId="23" borderId="21" xfId="0" applyFont="1" applyFill="1" applyBorder="1" applyAlignment="1">
      <alignment horizontal="center" vertical="center" wrapText="1"/>
    </xf>
    <xf numFmtId="0" fontId="17" fillId="23" borderId="17" xfId="0" applyFont="1" applyFill="1" applyBorder="1" applyAlignment="1">
      <alignment horizontal="center" vertical="center" wrapText="1"/>
    </xf>
    <xf numFmtId="0" fontId="17" fillId="23" borderId="23" xfId="0" applyFont="1" applyFill="1" applyBorder="1" applyAlignment="1">
      <alignment horizontal="center" vertical="center" wrapText="1"/>
    </xf>
    <xf numFmtId="165" fontId="25" fillId="7" borderId="61" xfId="0" applyNumberFormat="1" applyFont="1" applyFill="1" applyBorder="1" applyAlignment="1">
      <alignment horizontal="center" vertical="center" wrapText="1"/>
    </xf>
    <xf numFmtId="165" fontId="25" fillId="7" borderId="42" xfId="0" applyNumberFormat="1" applyFont="1" applyFill="1" applyBorder="1" applyAlignment="1">
      <alignment horizontal="center" vertical="center" wrapText="1"/>
    </xf>
    <xf numFmtId="165" fontId="25" fillId="7" borderId="12" xfId="0" applyNumberFormat="1" applyFont="1" applyFill="1" applyBorder="1" applyAlignment="1">
      <alignment horizontal="center" vertical="center" wrapText="1"/>
    </xf>
    <xf numFmtId="0" fontId="17" fillId="23" borderId="45" xfId="0" applyFont="1" applyFill="1" applyBorder="1" applyAlignment="1">
      <alignment horizontal="center" vertical="center" wrapText="1"/>
    </xf>
    <xf numFmtId="0" fontId="17" fillId="23" borderId="41" xfId="0" applyFont="1" applyFill="1" applyBorder="1" applyAlignment="1">
      <alignment horizontal="center" vertical="center" wrapText="1"/>
    </xf>
    <xf numFmtId="0" fontId="17" fillId="23" borderId="38" xfId="0" applyFont="1" applyFill="1" applyBorder="1" applyAlignment="1">
      <alignment horizontal="center" vertical="center" wrapText="1"/>
    </xf>
    <xf numFmtId="0" fontId="17" fillId="23" borderId="47" xfId="0" applyFont="1" applyFill="1" applyBorder="1" applyAlignment="1">
      <alignment horizontal="center" vertical="center" wrapText="1"/>
    </xf>
    <xf numFmtId="0" fontId="17" fillId="23" borderId="42" xfId="0" applyFont="1" applyFill="1" applyBorder="1" applyAlignment="1">
      <alignment horizontal="center" vertical="center" wrapText="1"/>
    </xf>
    <xf numFmtId="0" fontId="17" fillId="23" borderId="12"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0" xfId="0" applyFont="1" applyFill="1" applyAlignment="1">
      <alignment horizontal="center" vertical="center" wrapText="1"/>
    </xf>
    <xf numFmtId="0" fontId="17" fillId="23" borderId="34" xfId="0" applyFont="1" applyFill="1" applyBorder="1" applyAlignment="1">
      <alignment horizontal="center" vertical="center" wrapText="1"/>
    </xf>
    <xf numFmtId="0" fontId="17" fillId="23" borderId="35" xfId="0" applyFont="1" applyFill="1" applyBorder="1" applyAlignment="1">
      <alignment horizontal="center" vertical="center" wrapText="1"/>
    </xf>
    <xf numFmtId="0" fontId="17" fillId="23" borderId="57"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6" xfId="0" applyFont="1" applyFill="1" applyBorder="1" applyAlignment="1">
      <alignment horizontal="center" vertical="center" wrapText="1"/>
    </xf>
    <xf numFmtId="2" fontId="0" fillId="25" borderId="1" xfId="0" applyNumberFormat="1" applyFill="1" applyBorder="1" applyAlignment="1">
      <alignment horizontal="center" vertical="center" wrapText="1"/>
    </xf>
    <xf numFmtId="2" fontId="0" fillId="25" borderId="2" xfId="0" applyNumberFormat="1" applyFill="1" applyBorder="1" applyAlignment="1">
      <alignment horizontal="center" vertical="center" wrapText="1"/>
    </xf>
    <xf numFmtId="2" fontId="0" fillId="25" borderId="3" xfId="0" applyNumberFormat="1" applyFill="1" applyBorder="1" applyAlignment="1">
      <alignment horizontal="center" vertical="center" wrapText="1"/>
    </xf>
    <xf numFmtId="165" fontId="0" fillId="25" borderId="2" xfId="0" applyNumberFormat="1" applyFill="1" applyBorder="1" applyAlignment="1">
      <alignment horizontal="center" vertical="center" wrapText="1"/>
    </xf>
    <xf numFmtId="0" fontId="12" fillId="28" borderId="13" xfId="0" applyFont="1" applyFill="1" applyBorder="1" applyAlignment="1">
      <alignment horizontal="center" vertical="center" wrapText="1"/>
    </xf>
    <xf numFmtId="0" fontId="12" fillId="28" borderId="14" xfId="0" applyFont="1" applyFill="1" applyBorder="1" applyAlignment="1">
      <alignment horizontal="center" vertical="center" wrapText="1"/>
    </xf>
    <xf numFmtId="0" fontId="4" fillId="0" borderId="27"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17" borderId="5" xfId="0" applyFont="1" applyFill="1" applyBorder="1" applyAlignment="1" applyProtection="1">
      <alignment horizontal="center" vertical="center"/>
      <protection locked="0"/>
    </xf>
    <xf numFmtId="0" fontId="4" fillId="17" borderId="6" xfId="0" applyFont="1" applyFill="1" applyBorder="1" applyAlignment="1" applyProtection="1">
      <alignment horizontal="center" vertical="center"/>
      <protection locked="0"/>
    </xf>
    <xf numFmtId="0" fontId="22" fillId="23" borderId="25" xfId="0" applyFont="1" applyFill="1" applyBorder="1" applyAlignment="1">
      <alignment horizontal="center"/>
    </xf>
    <xf numFmtId="0" fontId="22" fillId="23" borderId="26" xfId="0" applyFont="1" applyFill="1" applyBorder="1" applyAlignment="1">
      <alignment horizontal="center"/>
    </xf>
    <xf numFmtId="0" fontId="22" fillId="23" borderId="11" xfId="0" applyFont="1" applyFill="1" applyBorder="1" applyAlignment="1">
      <alignment horizontal="center"/>
    </xf>
    <xf numFmtId="0" fontId="22" fillId="23" borderId="14" xfId="0" applyFont="1" applyFill="1" applyBorder="1" applyAlignment="1">
      <alignment horizontal="center"/>
    </xf>
    <xf numFmtId="0" fontId="4" fillId="7" borderId="44" xfId="0" applyFont="1" applyFill="1" applyBorder="1" applyAlignment="1">
      <alignment horizontal="center" vertical="center"/>
    </xf>
    <xf numFmtId="0" fontId="4" fillId="0" borderId="61"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12" fillId="5" borderId="78" xfId="0" applyFont="1" applyFill="1" applyBorder="1" applyAlignment="1">
      <alignment horizontal="center" vertical="center" wrapText="1"/>
    </xf>
    <xf numFmtId="0" fontId="12" fillId="5" borderId="76"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12" fillId="5" borderId="52" xfId="0" applyFont="1" applyFill="1" applyBorder="1" applyAlignment="1">
      <alignment horizontal="center" vertical="center" wrapText="1"/>
    </xf>
    <xf numFmtId="0" fontId="12" fillId="5" borderId="77"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6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2" fillId="12" borderId="42" xfId="0" applyFont="1" applyFill="1" applyBorder="1" applyAlignment="1">
      <alignment horizontal="center"/>
    </xf>
    <xf numFmtId="0" fontId="2" fillId="12" borderId="55" xfId="0" applyFont="1" applyFill="1" applyBorder="1" applyAlignment="1">
      <alignment horizontal="center"/>
    </xf>
    <xf numFmtId="0" fontId="4" fillId="0" borderId="39"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17" borderId="47" xfId="0" applyFont="1" applyFill="1" applyBorder="1" applyAlignment="1" applyProtection="1">
      <alignment horizontal="center" vertical="center" wrapText="1"/>
      <protection locked="0"/>
    </xf>
    <xf numFmtId="0" fontId="4" fillId="17" borderId="55" xfId="0" applyFont="1" applyFill="1" applyBorder="1" applyAlignment="1" applyProtection="1">
      <alignment horizontal="center" vertical="center" wrapText="1"/>
      <protection locked="0"/>
    </xf>
    <xf numFmtId="2" fontId="0" fillId="0" borderId="33" xfId="0" applyNumberFormat="1" applyBorder="1" applyAlignment="1" applyProtection="1">
      <alignment horizontal="center" vertical="center" wrapText="1"/>
      <protection locked="0"/>
    </xf>
    <xf numFmtId="2" fontId="0" fillId="0" borderId="0" xfId="0" applyNumberFormat="1" applyAlignment="1" applyProtection="1">
      <alignment horizontal="center" vertical="center" wrapText="1"/>
      <protection locked="0"/>
    </xf>
    <xf numFmtId="165" fontId="0" fillId="25" borderId="47" xfId="0" applyNumberFormat="1" applyFill="1" applyBorder="1" applyAlignment="1">
      <alignment horizontal="center" vertical="center" wrapText="1"/>
    </xf>
    <xf numFmtId="165" fontId="0" fillId="25" borderId="42" xfId="0" applyNumberFormat="1" applyFill="1" applyBorder="1" applyAlignment="1">
      <alignment horizontal="center" vertical="center" wrapText="1"/>
    </xf>
    <xf numFmtId="165" fontId="0" fillId="25" borderId="55" xfId="0" applyNumberFormat="1" applyFill="1" applyBorder="1" applyAlignment="1">
      <alignment horizontal="center" vertical="center" wrapText="1"/>
    </xf>
    <xf numFmtId="0" fontId="4" fillId="17" borderId="45" xfId="0" applyFont="1" applyFill="1" applyBorder="1" applyAlignment="1" applyProtection="1">
      <alignment horizontal="center" vertical="center" wrapText="1"/>
      <protection locked="0"/>
    </xf>
    <xf numFmtId="0" fontId="4" fillId="17" borderId="56" xfId="0" applyFont="1" applyFill="1" applyBorder="1" applyAlignment="1" applyProtection="1">
      <alignment horizontal="center" vertical="center" wrapText="1"/>
      <protection locked="0"/>
    </xf>
    <xf numFmtId="165" fontId="0" fillId="25" borderId="45" xfId="0" applyNumberFormat="1" applyFill="1" applyBorder="1" applyAlignment="1">
      <alignment horizontal="center" vertical="center" wrapText="1"/>
    </xf>
    <xf numFmtId="165" fontId="0" fillId="25" borderId="41" xfId="0" applyNumberFormat="1" applyFill="1" applyBorder="1" applyAlignment="1">
      <alignment horizontal="center" vertical="center" wrapText="1"/>
    </xf>
    <xf numFmtId="165" fontId="0" fillId="25" borderId="56" xfId="0" applyNumberFormat="1" applyFill="1" applyBorder="1" applyAlignment="1">
      <alignment horizontal="center" vertical="center" wrapText="1"/>
    </xf>
    <xf numFmtId="165" fontId="0" fillId="25" borderId="34" xfId="0" applyNumberFormat="1" applyFill="1" applyBorder="1" applyAlignment="1">
      <alignment horizontal="center" vertical="center" wrapText="1"/>
    </xf>
    <xf numFmtId="165" fontId="0" fillId="25" borderId="36" xfId="0" applyNumberFormat="1" applyFill="1" applyBorder="1" applyAlignment="1">
      <alignment horizontal="center" vertical="center" wrapText="1"/>
    </xf>
    <xf numFmtId="0" fontId="14" fillId="5" borderId="12" xfId="0" applyFont="1" applyFill="1" applyBorder="1" applyAlignment="1">
      <alignment horizontal="center" vertical="center" wrapText="1"/>
    </xf>
    <xf numFmtId="165" fontId="0" fillId="25" borderId="62" xfId="0" applyNumberFormat="1" applyFill="1" applyBorder="1" applyAlignment="1">
      <alignment horizontal="center" vertical="center" wrapText="1"/>
    </xf>
    <xf numFmtId="165" fontId="0" fillId="25" borderId="6" xfId="0" applyNumberFormat="1" applyFill="1" applyBorder="1" applyAlignment="1">
      <alignment horizontal="center" vertical="center" wrapText="1"/>
    </xf>
    <xf numFmtId="165" fontId="0" fillId="25" borderId="46" xfId="0" applyNumberFormat="1" applyFill="1" applyBorder="1" applyAlignment="1">
      <alignment horizontal="center" vertical="center" wrapText="1"/>
    </xf>
    <xf numFmtId="0" fontId="17" fillId="23" borderId="66" xfId="0" applyFont="1" applyFill="1" applyBorder="1" applyAlignment="1">
      <alignment horizontal="center" vertical="center" wrapText="1"/>
    </xf>
    <xf numFmtId="0" fontId="4" fillId="7" borderId="20"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76" xfId="0" applyFont="1" applyFill="1" applyBorder="1" applyAlignment="1">
      <alignment horizontal="center" vertical="center"/>
    </xf>
    <xf numFmtId="0" fontId="4" fillId="7" borderId="77" xfId="0" applyFont="1" applyFill="1" applyBorder="1" applyAlignment="1">
      <alignment horizontal="center" vertical="center"/>
    </xf>
    <xf numFmtId="165" fontId="0" fillId="25" borderId="37" xfId="0" applyNumberFormat="1" applyFill="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 fillId="12" borderId="0" xfId="0" applyFont="1" applyFill="1" applyAlignment="1">
      <alignment horizontal="center" wrapText="1"/>
    </xf>
    <xf numFmtId="0" fontId="4" fillId="7" borderId="25" xfId="0" applyFont="1" applyFill="1" applyBorder="1" applyAlignment="1">
      <alignment horizontal="center" vertical="center"/>
    </xf>
    <xf numFmtId="0" fontId="4" fillId="7" borderId="26" xfId="0" applyFont="1" applyFill="1" applyBorder="1" applyAlignment="1">
      <alignment horizontal="center" vertical="center"/>
    </xf>
    <xf numFmtId="0" fontId="12" fillId="5" borderId="1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3" fillId="0" borderId="54" xfId="0" applyFont="1" applyBorder="1" applyAlignment="1">
      <alignment horizontal="center"/>
    </xf>
    <xf numFmtId="0" fontId="3" fillId="0" borderId="16" xfId="0" applyFont="1" applyBorder="1" applyAlignment="1">
      <alignment horizontal="center"/>
    </xf>
    <xf numFmtId="0" fontId="4" fillId="17" borderId="5" xfId="0" applyFont="1" applyFill="1" applyBorder="1" applyAlignment="1" applyProtection="1">
      <alignment horizontal="center" vertical="center" wrapText="1"/>
      <protection locked="0"/>
    </xf>
    <xf numFmtId="0" fontId="4" fillId="17" borderId="6" xfId="0" applyFont="1" applyFill="1" applyBorder="1" applyAlignment="1" applyProtection="1">
      <alignment horizontal="center" vertical="center" wrapText="1"/>
      <protection locked="0"/>
    </xf>
    <xf numFmtId="165" fontId="0" fillId="25" borderId="25" xfId="0" applyNumberFormat="1" applyFill="1" applyBorder="1" applyAlignment="1">
      <alignment horizontal="center" vertical="center" wrapText="1"/>
    </xf>
    <xf numFmtId="165" fontId="0" fillId="25" borderId="39" xfId="0" applyNumberFormat="1" applyFill="1" applyBorder="1" applyAlignment="1">
      <alignment horizontal="center" vertical="center" wrapText="1"/>
    </xf>
    <xf numFmtId="165" fontId="0" fillId="25" borderId="26" xfId="0" applyNumberFormat="1" applyFill="1" applyBorder="1" applyAlignment="1">
      <alignment horizontal="center" vertical="center" wrapText="1"/>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4" fillId="5" borderId="62"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1" xfId="0" applyFont="1" applyFill="1" applyBorder="1" applyAlignment="1">
      <alignment horizontal="center" vertical="center"/>
    </xf>
    <xf numFmtId="165" fontId="0" fillId="25" borderId="35" xfId="0" applyNumberForma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 fillId="12" borderId="61" xfId="0" applyFont="1" applyFill="1" applyBorder="1" applyAlignment="1">
      <alignment horizontal="center"/>
    </xf>
    <xf numFmtId="0" fontId="12" fillId="5" borderId="58"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82" xfId="0" applyFont="1" applyFill="1" applyBorder="1" applyAlignment="1">
      <alignment horizontal="center" vertical="center" wrapText="1"/>
    </xf>
    <xf numFmtId="0" fontId="4" fillId="17" borderId="47" xfId="0" applyFont="1" applyFill="1" applyBorder="1" applyAlignment="1" applyProtection="1">
      <alignment horizontal="center" vertical="center"/>
      <protection locked="0"/>
    </xf>
    <xf numFmtId="0" fontId="4" fillId="17" borderId="55" xfId="0" applyFont="1" applyFill="1" applyBorder="1" applyAlignment="1" applyProtection="1">
      <alignment horizontal="center" vertical="center"/>
      <protection locked="0"/>
    </xf>
    <xf numFmtId="2" fontId="0" fillId="0" borderId="34" xfId="0" applyNumberFormat="1" applyBorder="1" applyAlignment="1" applyProtection="1">
      <alignment horizontal="center" vertical="center" wrapText="1"/>
      <protection locked="0"/>
    </xf>
    <xf numFmtId="2" fontId="0" fillId="0" borderId="35" xfId="0" applyNumberFormat="1" applyBorder="1" applyAlignment="1" applyProtection="1">
      <alignment horizontal="center" vertical="center" wrapText="1"/>
      <protection locked="0"/>
    </xf>
    <xf numFmtId="165" fontId="0" fillId="25" borderId="9" xfId="0" applyNumberForma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16" xfId="0" applyFont="1" applyFill="1" applyBorder="1" applyAlignment="1">
      <alignment horizontal="center" vertical="center" wrapText="1"/>
    </xf>
    <xf numFmtId="165" fontId="0" fillId="25" borderId="18" xfId="0" applyNumberFormat="1" applyFill="1" applyBorder="1" applyAlignment="1">
      <alignment horizontal="center" vertical="center" wrapText="1"/>
    </xf>
    <xf numFmtId="0" fontId="4" fillId="7" borderId="18"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61" xfId="0" applyFont="1" applyFill="1" applyBorder="1" applyAlignment="1">
      <alignment horizontal="center" vertical="center"/>
    </xf>
    <xf numFmtId="165" fontId="0" fillId="25" borderId="54" xfId="0" applyNumberFormat="1" applyFill="1" applyBorder="1" applyAlignment="1">
      <alignment horizontal="center" vertical="center" wrapText="1"/>
    </xf>
    <xf numFmtId="0" fontId="14" fillId="5" borderId="0" xfId="0" applyFont="1" applyFill="1" applyAlignment="1">
      <alignment horizontal="center" vertical="center" wrapText="1"/>
    </xf>
    <xf numFmtId="0" fontId="4" fillId="7" borderId="39" xfId="0" applyFont="1" applyFill="1" applyBorder="1" applyAlignment="1">
      <alignment horizontal="center" vertical="center"/>
    </xf>
    <xf numFmtId="0" fontId="4" fillId="7" borderId="62"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2" fillId="5" borderId="60" xfId="0" applyFont="1" applyFill="1" applyBorder="1" applyAlignment="1">
      <alignment horizontal="center" vertical="center" wrapText="1"/>
    </xf>
    <xf numFmtId="2" fontId="0" fillId="0" borderId="5" xfId="0" applyNumberFormat="1" applyBorder="1" applyAlignment="1" applyProtection="1">
      <alignment horizontal="center" vertical="center" wrapText="1"/>
      <protection locked="0"/>
    </xf>
    <xf numFmtId="2" fontId="0" fillId="0" borderId="63" xfId="0" applyNumberForma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7" fillId="5" borderId="78"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5" fillId="6" borderId="44" xfId="0" applyFont="1" applyFill="1" applyBorder="1" applyAlignment="1">
      <alignment horizontal="center" vertical="center"/>
    </xf>
    <xf numFmtId="0" fontId="5" fillId="6" borderId="40" xfId="0" applyFont="1" applyFill="1" applyBorder="1" applyAlignment="1">
      <alignment horizontal="center" vertical="center"/>
    </xf>
    <xf numFmtId="0" fontId="3" fillId="12" borderId="3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1" fillId="12" borderId="0" xfId="0" applyFont="1" applyFill="1" applyAlignment="1">
      <alignment horizontal="center" wrapText="1"/>
    </xf>
    <xf numFmtId="0" fontId="0" fillId="12" borderId="0" xfId="0" applyFill="1" applyAlignment="1">
      <alignment horizontal="center" wrapText="1"/>
    </xf>
    <xf numFmtId="0" fontId="1" fillId="12" borderId="0" xfId="0" applyFont="1" applyFill="1" applyAlignment="1">
      <alignment horizontal="center"/>
    </xf>
    <xf numFmtId="0" fontId="17" fillId="5" borderId="28"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18" xfId="0" applyFont="1" applyFill="1" applyBorder="1" applyAlignment="1">
      <alignment horizontal="center" vertical="center"/>
    </xf>
    <xf numFmtId="0" fontId="22" fillId="5" borderId="25" xfId="0" applyFont="1" applyFill="1" applyBorder="1" applyAlignment="1">
      <alignment horizontal="center" vertical="center"/>
    </xf>
    <xf numFmtId="0" fontId="22" fillId="5" borderId="39" xfId="0" applyFont="1" applyFill="1" applyBorder="1" applyAlignment="1">
      <alignment horizontal="center" vertical="center"/>
    </xf>
    <xf numFmtId="0" fontId="22" fillId="5" borderId="2" xfId="0" applyFont="1" applyFill="1" applyBorder="1" applyAlignment="1">
      <alignment horizontal="center" vertical="center"/>
    </xf>
    <xf numFmtId="165" fontId="5" fillId="0" borderId="73" xfId="0" applyNumberFormat="1" applyFont="1" applyBorder="1" applyAlignment="1">
      <alignment horizontal="center" vertical="center"/>
    </xf>
    <xf numFmtId="165" fontId="5" fillId="0" borderId="0" xfId="0" applyNumberFormat="1" applyFont="1" applyAlignment="1">
      <alignment horizontal="center" vertical="center"/>
    </xf>
    <xf numFmtId="0" fontId="5" fillId="8" borderId="24" xfId="0" applyFont="1" applyFill="1" applyBorder="1" applyAlignment="1">
      <alignment horizontal="center"/>
    </xf>
    <xf numFmtId="0" fontId="5" fillId="24" borderId="24" xfId="0" applyFont="1" applyFill="1" applyBorder="1" applyAlignment="1">
      <alignment horizontal="center" vertical="center"/>
    </xf>
    <xf numFmtId="0" fontId="5" fillId="9" borderId="24" xfId="0" applyFont="1" applyFill="1" applyBorder="1" applyAlignment="1">
      <alignment horizontal="center"/>
    </xf>
    <xf numFmtId="0" fontId="3" fillId="8" borderId="2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12" fillId="28" borderId="1" xfId="0" applyFont="1" applyFill="1" applyBorder="1" applyAlignment="1">
      <alignment horizontal="center" vertical="center"/>
    </xf>
    <xf numFmtId="0" fontId="12" fillId="28" borderId="2" xfId="0" applyFont="1" applyFill="1" applyBorder="1" applyAlignment="1">
      <alignment horizontal="center" vertical="center"/>
    </xf>
    <xf numFmtId="0" fontId="12" fillId="28" borderId="3" xfId="0" applyFont="1" applyFill="1" applyBorder="1" applyAlignment="1">
      <alignment horizontal="center" vertical="center"/>
    </xf>
    <xf numFmtId="0" fontId="12" fillId="28" borderId="30" xfId="0" applyFont="1" applyFill="1" applyBorder="1" applyAlignment="1">
      <alignment horizontal="center" vertical="center"/>
    </xf>
    <xf numFmtId="0" fontId="12" fillId="28" borderId="31" xfId="0" applyFont="1" applyFill="1" applyBorder="1" applyAlignment="1">
      <alignment horizontal="center" vertical="center"/>
    </xf>
    <xf numFmtId="0" fontId="12" fillId="28" borderId="32" xfId="0" applyFont="1" applyFill="1" applyBorder="1" applyAlignment="1">
      <alignment horizontal="center" vertical="center"/>
    </xf>
    <xf numFmtId="0" fontId="12" fillId="28" borderId="34" xfId="0" applyFont="1" applyFill="1" applyBorder="1" applyAlignment="1">
      <alignment horizontal="center" vertical="center"/>
    </xf>
    <xf numFmtId="0" fontId="12" fillId="28" borderId="35" xfId="0" applyFont="1" applyFill="1" applyBorder="1" applyAlignment="1">
      <alignment horizontal="center" vertical="center"/>
    </xf>
    <xf numFmtId="0" fontId="12" fillId="28" borderId="36" xfId="0" applyFont="1" applyFill="1" applyBorder="1" applyAlignment="1">
      <alignment horizontal="center" vertical="center"/>
    </xf>
    <xf numFmtId="0" fontId="2" fillId="22" borderId="48"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22" borderId="50"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6" xfId="0" applyFont="1" applyFill="1" applyBorder="1" applyAlignment="1">
      <alignment horizontal="center" vertical="center"/>
    </xf>
    <xf numFmtId="0" fontId="3" fillId="8" borderId="48"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8" borderId="79"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63" xfId="0" applyFont="1" applyFill="1" applyBorder="1" applyAlignment="1">
      <alignment horizontal="center" vertical="center"/>
    </xf>
    <xf numFmtId="0" fontId="5" fillId="10" borderId="6" xfId="0" applyFont="1" applyFill="1" applyBorder="1" applyAlignment="1">
      <alignment horizontal="center" vertical="center"/>
    </xf>
    <xf numFmtId="0" fontId="14" fillId="5" borderId="27"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27" xfId="0" applyFont="1" applyFill="1" applyBorder="1" applyAlignment="1">
      <alignment horizontal="center"/>
    </xf>
    <xf numFmtId="0" fontId="14" fillId="5" borderId="41" xfId="0" applyFont="1" applyFill="1" applyBorder="1" applyAlignment="1">
      <alignment horizontal="center"/>
    </xf>
    <xf numFmtId="0" fontId="14" fillId="5" borderId="38" xfId="0" applyFont="1" applyFill="1" applyBorder="1" applyAlignment="1">
      <alignment horizontal="center"/>
    </xf>
    <xf numFmtId="0" fontId="30" fillId="5" borderId="17" xfId="0" applyFont="1" applyFill="1" applyBorder="1" applyAlignment="1">
      <alignment horizontal="center"/>
    </xf>
    <xf numFmtId="0" fontId="14" fillId="5" borderId="0" xfId="0" applyFont="1" applyFill="1" applyAlignment="1">
      <alignment horizontal="center"/>
    </xf>
    <xf numFmtId="0" fontId="34" fillId="5" borderId="17" xfId="0" applyFont="1" applyFill="1" applyBorder="1" applyAlignment="1">
      <alignment horizontal="center" wrapText="1"/>
    </xf>
    <xf numFmtId="0" fontId="33" fillId="5" borderId="0" xfId="0" applyFont="1" applyFill="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cellXfs>
  <cellStyles count="33">
    <cellStyle name="Comma 2" xfId="4" xr:uid="{51224B8C-E8E3-47D2-A8F6-58EF7C551F9F}"/>
    <cellStyle name="Comma 2 2" xfId="5" xr:uid="{A728E390-66AE-44B3-ADFD-FEECB90E8647}"/>
    <cellStyle name="Comma 2 2 2" xfId="17" xr:uid="{9E775CFB-038E-47DD-8BD3-E436175821F2}"/>
    <cellStyle name="Comma 2 2 2 2" xfId="28" xr:uid="{4C957086-B6C9-45D0-809C-FD3B52CC1CFD}"/>
    <cellStyle name="Comma 2 2 3" xfId="23" xr:uid="{00AD15E0-C8C8-4862-BCCC-4B1DDC4A6CC5}"/>
    <cellStyle name="Comma 2 3" xfId="6" xr:uid="{4AE7532A-1280-4EA2-BD05-356BAA3F5334}"/>
    <cellStyle name="Comma 3" xfId="7" xr:uid="{6E026BA7-9710-4945-AC5E-692FBCB0071C}"/>
    <cellStyle name="Comma 3 2" xfId="8" xr:uid="{888492F3-8238-4658-AE91-2D3064833FF5}"/>
    <cellStyle name="Comma 3 2 2" xfId="19" xr:uid="{8B01FCB9-B130-4803-BAB3-1412FE5F339D}"/>
    <cellStyle name="Comma 3 2 2 2" xfId="30" xr:uid="{612947E2-7E7E-4965-B60C-20BEE31A774C}"/>
    <cellStyle name="Comma 3 2 3" xfId="25" xr:uid="{608353AA-7B5C-438B-AFF3-DAD9ABFB8998}"/>
    <cellStyle name="Comma 3 3" xfId="18" xr:uid="{4726DC99-FD4E-4C3B-8B8B-0E2829628A76}"/>
    <cellStyle name="Comma 3 3 2" xfId="29" xr:uid="{E41F5787-6EF3-47C0-83C9-D2111B2DCE65}"/>
    <cellStyle name="Comma 3 4" xfId="24" xr:uid="{3994423A-ED46-4948-A08B-97059F1E1348}"/>
    <cellStyle name="Comma 4" xfId="9" xr:uid="{1A0133AA-66F1-4B47-A5FE-E6F2A73000A7}"/>
    <cellStyle name="Comma 4 2" xfId="20" xr:uid="{86633743-ABE0-4C7B-B86D-99D3B99B9F59}"/>
    <cellStyle name="Comma 4 2 2" xfId="31" xr:uid="{CB81CB54-E4BD-47DE-BD74-12AEB64AE6FE}"/>
    <cellStyle name="Comma 4 3" xfId="26" xr:uid="{CE1C7454-B02F-48A1-A8B8-7D7BEE4AC3BF}"/>
    <cellStyle name="Comma 5" xfId="3" xr:uid="{79F2816B-0FDC-4D15-8090-174684463E7D}"/>
    <cellStyle name="Comma 5 2" xfId="16" xr:uid="{CF16011A-4205-4192-96FB-C28AD538ABE0}"/>
    <cellStyle name="Comma 5 2 2" xfId="27" xr:uid="{2E151703-1ACA-45A2-8F93-D9F490F425E1}"/>
    <cellStyle name="Comma 5 3" xfId="22" xr:uid="{DC303C44-F1F6-480C-94FF-CA0F0C41814B}"/>
    <cellStyle name="Neutral" xfId="21" builtinId="28"/>
    <cellStyle name="Normal" xfId="0" builtinId="0"/>
    <cellStyle name="Normal 2" xfId="1" xr:uid="{E6A8696B-29F8-4817-8F76-653BA65C4A2E}"/>
    <cellStyle name="Normal 2 2" xfId="10" xr:uid="{CA4778F4-9731-46EA-8460-559FA7B3CACC}"/>
    <cellStyle name="Normal 3" xfId="11" xr:uid="{7158F620-BA0C-49E4-80E1-B2DC2A74F7F8}"/>
    <cellStyle name="Normal 4" xfId="12" xr:uid="{7097E372-FFB9-4D29-A0F0-BD126DA83633}"/>
    <cellStyle name="Normal 5" xfId="13" xr:uid="{5DB3A312-3AB1-44EA-B546-F8820A9A5B48}"/>
    <cellStyle name="Normal 5 2" xfId="14" xr:uid="{65A03616-56F7-4562-879E-B2B300C3AB73}"/>
    <cellStyle name="Normal 6" xfId="15" xr:uid="{AA935158-86F7-4047-BBA7-998D3D0BFC0C}"/>
    <cellStyle name="Normal 7" xfId="2" xr:uid="{A9753FD2-FBE0-4C3D-9D14-A03A420391E4}"/>
    <cellStyle name="Percent" xfId="32" builtinId="5"/>
  </cellStyles>
  <dxfs count="274">
    <dxf>
      <font>
        <color theme="0"/>
      </font>
      <fill>
        <patternFill>
          <bgColor rgb="FFC00000"/>
        </patternFill>
      </fill>
    </dxf>
    <dxf>
      <font>
        <color theme="0"/>
      </font>
      <fill>
        <patternFill>
          <bgColor rgb="FFC00000"/>
        </patternFill>
      </fill>
    </dxf>
    <dxf>
      <font>
        <color theme="1"/>
      </font>
      <fill>
        <patternFill>
          <bgColor theme="9" tint="0.39994506668294322"/>
        </patternFill>
      </fill>
    </dxf>
    <dxf>
      <fill>
        <patternFill>
          <bgColor theme="0" tint="-0.24994659260841701"/>
        </patternFill>
      </fill>
    </dxf>
    <dxf>
      <font>
        <color theme="0"/>
      </font>
      <fill>
        <patternFill>
          <bgColor rgb="FFC00000"/>
        </patternFill>
      </fill>
    </dxf>
    <dxf>
      <fill>
        <patternFill>
          <bgColor theme="9" tint="0.39994506668294322"/>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1"/>
      </font>
      <fill>
        <patternFill>
          <bgColor theme="0" tint="-0.24994659260841701"/>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6" tint="-0.24994659260841701"/>
        </patternFill>
      </fill>
    </dxf>
    <dxf>
      <font>
        <color theme="0"/>
      </font>
      <fill>
        <patternFill>
          <bgColor rgb="FFC00000"/>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ill>
        <patternFill>
          <bgColor theme="9" tint="0.39994506668294322"/>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0" tint="-0.24994659260841701"/>
        </patternFill>
      </fill>
    </dxf>
    <dxf>
      <fill>
        <patternFill>
          <bgColor theme="0"/>
        </patternFill>
      </fill>
    </dxf>
    <dxf>
      <fill>
        <patternFill>
          <bgColor theme="9" tint="0.39994506668294322"/>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5" tint="0.59996337778862885"/>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rgb="FFFFC000"/>
        </patternFill>
      </fill>
    </dxf>
    <dxf>
      <fill>
        <patternFill>
          <bgColor rgb="FFFFC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6" tint="-0.24994659260841701"/>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rgb="FFC00000"/>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font>
      <fill>
        <patternFill>
          <bgColor theme="0" tint="-0.24994659260841701"/>
        </patternFill>
      </fill>
    </dxf>
    <dxf>
      <font>
        <color theme="0"/>
      </font>
      <fill>
        <patternFill>
          <bgColor rgb="FFC00000"/>
        </patternFill>
      </fill>
    </dxf>
    <dxf>
      <fill>
        <patternFill>
          <bgColor theme="0"/>
        </patternFill>
      </fill>
    </dxf>
    <dxf>
      <fill>
        <patternFill>
          <bgColor theme="9" tint="0.39994506668294322"/>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5" tint="0.59996337778862885"/>
        </patternFill>
      </fill>
    </dxf>
    <dxf>
      <font>
        <color theme="0"/>
      </font>
      <fill>
        <patternFill>
          <bgColor rgb="FFC00000"/>
        </patternFill>
      </fill>
    </dxf>
    <dxf>
      <fill>
        <patternFill>
          <bgColor theme="5" tint="0.59996337778862885"/>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ill>
        <patternFill>
          <bgColor rgb="FFFFC000"/>
        </patternFill>
      </fill>
    </dxf>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ill>
        <patternFill>
          <bgColor theme="9" tint="0.39994506668294322"/>
        </patternFill>
      </fill>
    </dxf>
    <dxf>
      <fill>
        <patternFill>
          <bgColor rgb="FFFFC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6" tint="-0.24994659260841701"/>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left style="thin">
          <color rgb="FFFF0000"/>
        </left>
        <right style="thin">
          <color rgb="FFFF0000"/>
        </right>
        <top style="thin">
          <color rgb="FFFF0000"/>
        </top>
        <bottom style="thin">
          <color rgb="FFFF0000"/>
        </bottom>
      </border>
    </dxf>
    <dxf>
      <font>
        <color auto="1"/>
      </font>
      <fill>
        <patternFill>
          <bgColor theme="9" tint="0.39994506668294322"/>
        </patternFill>
      </fill>
    </dxf>
    <dxf>
      <font>
        <color theme="0"/>
      </font>
      <fill>
        <patternFill>
          <bgColor rgb="FFC00000"/>
        </patternFill>
      </fill>
    </dxf>
    <dxf>
      <font>
        <color auto="1"/>
      </font>
      <fill>
        <patternFill>
          <bgColor theme="9" tint="0.39994506668294322"/>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1"/>
      </font>
      <fill>
        <patternFill>
          <bgColor theme="0" tint="-0.34998626667073579"/>
        </patternFill>
      </fill>
    </dxf>
    <dxf>
      <font>
        <color theme="1"/>
      </font>
      <fill>
        <patternFill>
          <bgColor theme="0" tint="-0.24994659260841701"/>
        </patternFill>
      </fill>
    </dxf>
    <dxf>
      <font>
        <color theme="0"/>
      </font>
      <fill>
        <patternFill>
          <bgColor rgb="FFC00000"/>
        </patternFill>
      </fill>
    </dxf>
    <dxf>
      <fill>
        <patternFill>
          <bgColor theme="9" tint="0.39994506668294322"/>
        </patternFill>
      </fill>
    </dxf>
    <dxf>
      <fill>
        <patternFill>
          <bgColor theme="0"/>
        </patternFill>
      </fill>
    </dxf>
    <dxf>
      <font>
        <color theme="0"/>
      </font>
      <fill>
        <patternFill>
          <bgColor rgb="FFC00000"/>
        </patternFill>
      </fill>
      <border>
        <left style="thin">
          <color auto="1"/>
        </left>
        <right style="thin">
          <color auto="1"/>
        </right>
        <top style="thin">
          <color auto="1"/>
        </top>
        <bottom style="thin">
          <color auto="1"/>
        </bottom>
      </border>
    </dxf>
    <dxf>
      <font>
        <color theme="0"/>
      </font>
      <fill>
        <patternFill>
          <bgColor rgb="FFC0000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ont>
        <b/>
        <i val="0"/>
        <strike val="0"/>
        <color theme="0"/>
      </font>
      <fill>
        <patternFill>
          <bgColor rgb="FFC00000"/>
        </patternFill>
      </fill>
    </dxf>
    <dxf>
      <font>
        <b/>
        <i val="0"/>
        <color theme="1"/>
      </font>
      <fill>
        <patternFill>
          <bgColor rgb="FFFFC000"/>
        </patternFill>
      </fill>
    </dxf>
    <dxf>
      <font>
        <b/>
        <i val="0"/>
        <strike val="0"/>
        <color theme="0"/>
      </font>
      <fill>
        <patternFill>
          <bgColor rgb="FFC00000"/>
        </patternFill>
      </fill>
    </dxf>
    <dxf>
      <fill>
        <patternFill>
          <bgColor rgb="FFFFC000"/>
        </patternFill>
      </fill>
    </dxf>
    <dxf>
      <font>
        <b/>
        <i val="0"/>
        <color theme="0"/>
      </font>
      <fill>
        <patternFill>
          <bgColor rgb="FFC00000"/>
        </patternFill>
      </fill>
    </dxf>
    <dxf>
      <font>
        <b/>
        <i val="0"/>
        <strike val="0"/>
        <color theme="0"/>
      </font>
      <fill>
        <patternFill>
          <bgColor rgb="FFC00000"/>
        </patternFill>
      </fill>
    </dxf>
    <dxf>
      <font>
        <b/>
        <i val="0"/>
      </font>
      <fill>
        <patternFill>
          <bgColor theme="9" tint="0.39994506668294322"/>
        </patternFill>
      </fill>
    </dxf>
    <dxf>
      <font>
        <b/>
        <i val="0"/>
        <strike val="0"/>
        <color theme="0"/>
      </font>
      <fill>
        <patternFill>
          <bgColor rgb="FFC00000"/>
        </patternFill>
      </fill>
    </dxf>
    <dxf>
      <font>
        <b/>
        <i val="0"/>
        <strike val="0"/>
      </font>
      <fill>
        <patternFill>
          <bgColor rgb="FFFFC000"/>
        </patternFill>
      </fill>
    </dxf>
    <dxf>
      <font>
        <b/>
        <i val="0"/>
      </font>
      <fill>
        <patternFill>
          <bgColor theme="9" tint="0.39994506668294322"/>
        </patternFill>
      </fill>
    </dxf>
    <dxf>
      <font>
        <b/>
        <i val="0"/>
        <strike val="0"/>
        <color theme="0"/>
      </font>
      <fill>
        <patternFill>
          <bgColor rgb="FFC00000"/>
        </patternFill>
      </fill>
    </dxf>
    <dxf>
      <font>
        <b/>
        <i val="0"/>
        <strike val="0"/>
      </font>
      <fill>
        <patternFill>
          <bgColor rgb="FFFFC000"/>
        </patternFill>
      </fill>
    </dxf>
    <dxf>
      <font>
        <b/>
        <i val="0"/>
        <strike val="0"/>
        <color theme="1"/>
      </font>
      <fill>
        <patternFill>
          <bgColor theme="9" tint="0.39994506668294322"/>
        </patternFill>
      </fill>
    </dxf>
    <dxf>
      <fill>
        <patternFill>
          <bgColor rgb="FFFFC000"/>
        </patternFill>
      </fill>
    </dxf>
    <dxf>
      <font>
        <b/>
        <i val="0"/>
        <strike val="0"/>
        <color theme="0"/>
      </font>
      <fill>
        <patternFill>
          <bgColor rgb="FFC00000"/>
        </patternFill>
      </fill>
    </dxf>
    <dxf>
      <font>
        <b/>
        <i val="0"/>
        <strike val="0"/>
        <color theme="1"/>
      </font>
      <fill>
        <patternFill>
          <bgColor theme="9" tint="0.39994506668294322"/>
        </patternFill>
      </fill>
    </dxf>
    <dxf>
      <font>
        <b/>
        <i val="0"/>
        <strike val="0"/>
        <color theme="1"/>
      </font>
      <fill>
        <patternFill>
          <bgColor theme="9" tint="0.39994506668294322"/>
        </patternFill>
      </fill>
    </dxf>
    <dxf>
      <font>
        <b/>
        <i val="0"/>
        <strike val="0"/>
        <color theme="0"/>
      </font>
      <fill>
        <patternFill>
          <bgColor rgb="FFC00000"/>
        </patternFill>
      </fill>
    </dxf>
    <dxf>
      <font>
        <b/>
        <i val="0"/>
        <strike val="0"/>
      </font>
      <fill>
        <patternFill>
          <bgColor theme="9" tint="0.39994506668294322"/>
        </patternFill>
      </fill>
    </dxf>
    <dxf>
      <font>
        <color theme="1"/>
      </font>
      <fill>
        <patternFill>
          <bgColor rgb="FFFF5050"/>
        </patternFill>
      </fill>
    </dxf>
    <dxf>
      <font>
        <color theme="1"/>
      </font>
      <fill>
        <patternFill>
          <bgColor theme="7" tint="0.39994506668294322"/>
        </patternFill>
      </fill>
    </dxf>
    <dxf>
      <font>
        <color theme="1"/>
      </font>
      <fill>
        <patternFill>
          <bgColor rgb="FFFF5050"/>
        </patternFill>
      </fill>
    </dxf>
    <dxf>
      <font>
        <color theme="1"/>
      </font>
      <fill>
        <patternFill>
          <bgColor theme="9" tint="0.39994506668294322"/>
        </patternFill>
      </fill>
    </dxf>
    <dxf>
      <font>
        <color theme="0"/>
      </font>
      <fill>
        <patternFill>
          <bgColor rgb="FFC00000"/>
        </patternFill>
      </fill>
    </dxf>
    <dxf>
      <font>
        <color theme="0"/>
      </font>
      <fill>
        <patternFill>
          <bgColor rgb="FFC00000"/>
        </patternFill>
      </fill>
    </dxf>
    <dxf>
      <font>
        <b/>
        <i val="0"/>
        <strike val="0"/>
        <color theme="1"/>
      </font>
      <fill>
        <patternFill>
          <bgColor theme="9" tint="0.39994506668294322"/>
        </patternFill>
      </fill>
    </dxf>
    <dxf>
      <border diagonalUp="0" diagonalDown="0">
        <left style="thin">
          <color indexed="64"/>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style="thin">
          <color indexed="64"/>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s>
  <tableStyles count="0" defaultTableStyle="TableStyleMedium2" defaultPivotStyle="PivotStyleLight16"/>
  <colors>
    <mruColors>
      <color rgb="FF305496"/>
      <color rgb="FFF2F0D9"/>
      <color rgb="FFBDD7EE"/>
      <color rgb="FFF2F2F2"/>
      <color rgb="FF7B7B7B"/>
      <color rgb="FF005E5C"/>
      <color rgb="FFE2C4A6"/>
      <color rgb="FFFFFF99"/>
      <color rgb="FFF2EAD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'8. Headline Results'!$C$35</c:f>
              <c:strCache>
                <c:ptCount val="1"/>
                <c:pt idx="0">
                  <c:v>Baseline</c:v>
                </c:pt>
              </c:strCache>
            </c:strRef>
          </c:tx>
          <c:spPr>
            <a:solidFill>
              <a:schemeClr val="accent1">
                <a:shade val="76000"/>
              </a:schemeClr>
            </a:solidFill>
            <a:ln>
              <a:noFill/>
            </a:ln>
            <a:effectLst/>
          </c:spPr>
          <c:invertIfNegative val="0"/>
          <c:cat>
            <c:strRef>
              <c:f>'8. Headline Results'!$B$36:$B$38</c:f>
              <c:strCache>
                <c:ptCount val="3"/>
                <c:pt idx="0">
                  <c:v>Habitat units</c:v>
                </c:pt>
                <c:pt idx="1">
                  <c:v>Hedgerow units</c:v>
                </c:pt>
                <c:pt idx="2">
                  <c:v>River units</c:v>
                </c:pt>
              </c:strCache>
            </c:strRef>
          </c:cat>
          <c:val>
            <c:numRef>
              <c:f>'8. Headline Results'!$C$36:$C$38</c:f>
              <c:numCache>
                <c:formatCode>0.00</c:formatCode>
                <c:ptCount val="3"/>
                <c:pt idx="0">
                  <c:v>0.76270502399999984</c:v>
                </c:pt>
                <c:pt idx="1">
                  <c:v>0</c:v>
                </c:pt>
                <c:pt idx="2">
                  <c:v>0</c:v>
                </c:pt>
              </c:numCache>
            </c:numRef>
          </c:val>
          <c:extLst>
            <c:ext xmlns:c16="http://schemas.microsoft.com/office/drawing/2014/chart" uri="{C3380CC4-5D6E-409C-BE32-E72D297353CC}">
              <c16:uniqueId val="{00000000-ADE3-43C7-9D3E-9711237677AE}"/>
            </c:ext>
          </c:extLst>
        </c:ser>
        <c:ser>
          <c:idx val="1"/>
          <c:order val="1"/>
          <c:tx>
            <c:strRef>
              <c:f>'8. Headline Results'!$D$35</c:f>
              <c:strCache>
                <c:ptCount val="1"/>
                <c:pt idx="0">
                  <c:v>Provision</c:v>
                </c:pt>
              </c:strCache>
            </c:strRef>
          </c:tx>
          <c:spPr>
            <a:solidFill>
              <a:schemeClr val="accent1">
                <a:tint val="77000"/>
              </a:schemeClr>
            </a:solidFill>
            <a:ln>
              <a:noFill/>
            </a:ln>
            <a:effectLst/>
          </c:spPr>
          <c:invertIfNegative val="0"/>
          <c:cat>
            <c:strRef>
              <c:f>'8. Headline Results'!$B$36:$B$38</c:f>
              <c:strCache>
                <c:ptCount val="3"/>
                <c:pt idx="0">
                  <c:v>Habitat units</c:v>
                </c:pt>
                <c:pt idx="1">
                  <c:v>Hedgerow units</c:v>
                </c:pt>
                <c:pt idx="2">
                  <c:v>River units</c:v>
                </c:pt>
              </c:strCache>
            </c:strRef>
          </c:cat>
          <c:val>
            <c:numRef>
              <c:f>'8. Headline Results'!$D$36:$D$38</c:f>
              <c:numCache>
                <c:formatCode>0.00</c:formatCode>
                <c:ptCount val="3"/>
                <c:pt idx="0">
                  <c:v>0.8565975300781592</c:v>
                </c:pt>
                <c:pt idx="1">
                  <c:v>0</c:v>
                </c:pt>
                <c:pt idx="2">
                  <c:v>0</c:v>
                </c:pt>
              </c:numCache>
            </c:numRef>
          </c:val>
          <c:extLst>
            <c:ext xmlns:c16="http://schemas.microsoft.com/office/drawing/2014/chart" uri="{C3380CC4-5D6E-409C-BE32-E72D297353CC}">
              <c16:uniqueId val="{00000001-ADE3-43C7-9D3E-9711237677AE}"/>
            </c:ext>
          </c:extLst>
        </c:ser>
        <c:dLbls>
          <c:showLegendKey val="0"/>
          <c:showVal val="0"/>
          <c:showCatName val="0"/>
          <c:showSerName val="0"/>
          <c:showPercent val="0"/>
          <c:showBubbleSize val="0"/>
        </c:dLbls>
        <c:gapWidth val="219"/>
        <c:overlap val="-27"/>
        <c:axId val="1258806416"/>
        <c:axId val="1258809040"/>
      </c:barChart>
      <c:catAx>
        <c:axId val="125880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258809040"/>
        <c:crosses val="autoZero"/>
        <c:auto val="1"/>
        <c:lblAlgn val="ctr"/>
        <c:lblOffset val="100"/>
        <c:noMultiLvlLbl val="0"/>
      </c:catAx>
      <c:valAx>
        <c:axId val="1258809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58806416"/>
        <c:crosses val="autoZero"/>
        <c:crossBetween val="between"/>
      </c:valAx>
      <c:spPr>
        <a:noFill/>
        <a:ln>
          <a:noFill/>
        </a:ln>
        <a:effectLst/>
      </c:spPr>
    </c:plotArea>
    <c:legend>
      <c:legendPos val="b"/>
      <c:layout>
        <c:manualLayout>
          <c:xMode val="edge"/>
          <c:yMode val="edge"/>
          <c:x val="0.32953449664779744"/>
          <c:y val="0.91915952146809421"/>
          <c:w val="0.33106907529716639"/>
          <c:h val="6.134136021448006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23813</xdr:rowOff>
    </xdr:from>
    <xdr:to>
      <xdr:col>2</xdr:col>
      <xdr:colOff>183373</xdr:colOff>
      <xdr:row>4</xdr:row>
      <xdr:rowOff>82782</xdr:rowOff>
    </xdr:to>
    <xdr:pic>
      <xdr:nvPicPr>
        <xdr:cNvPr id="3" name="Picture 2" descr="Image result for natural england logo">
          <a:extLst>
            <a:ext uri="{FF2B5EF4-FFF2-40B4-BE49-F238E27FC236}">
              <a16:creationId xmlns:a16="http://schemas.microsoft.com/office/drawing/2014/main" id="{00F78949-202A-43FE-BE36-406F550C8868}"/>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50032" y="23813"/>
          <a:ext cx="802497" cy="77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458950</xdr:colOff>
      <xdr:row>24</xdr:row>
      <xdr:rowOff>58105</xdr:rowOff>
    </xdr:from>
    <xdr:ext cx="2554995" cy="264560"/>
    <xdr:sp macro="" textlink="">
      <xdr:nvSpPr>
        <xdr:cNvPr id="5" name="TextBox 4">
          <a:extLst>
            <a:ext uri="{FF2B5EF4-FFF2-40B4-BE49-F238E27FC236}">
              <a16:creationId xmlns:a16="http://schemas.microsoft.com/office/drawing/2014/main" id="{DCC9EDB9-A1DE-4710-B92C-F46E9BE28A4B}"/>
            </a:ext>
          </a:extLst>
        </xdr:cNvPr>
        <xdr:cNvSpPr txBox="1"/>
      </xdr:nvSpPr>
      <xdr:spPr>
        <a:xfrm>
          <a:off x="6142200" y="5407980"/>
          <a:ext cx="255499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0" i="0">
              <a:solidFill>
                <a:sysClr val="windowText" lastClr="000000"/>
              </a:solidFill>
              <a:effectLst/>
              <a:latin typeface="+mn-lt"/>
              <a:ea typeface="+mn-ea"/>
              <a:cs typeface="+mn-cs"/>
            </a:rPr>
            <a:t>©</a:t>
          </a:r>
          <a:r>
            <a:rPr lang="en-GB" sz="1100">
              <a:solidFill>
                <a:sysClr val="windowText" lastClr="000000"/>
              </a:solidFill>
            </a:rPr>
            <a:t> </a:t>
          </a:r>
          <a:r>
            <a:rPr lang="en-GB" sz="1100" b="0" i="0">
              <a:solidFill>
                <a:schemeClr val="tx1"/>
              </a:solidFill>
              <a:effectLst/>
              <a:latin typeface="+mn-lt"/>
              <a:ea typeface="+mn-ea"/>
              <a:cs typeface="+mn-cs"/>
            </a:rPr>
            <a:t> Natural England/Margaret Nieke 2012</a:t>
          </a:r>
          <a:endParaRPr lang="en-GB" sz="1100">
            <a:solidFill>
              <a:sysClr val="windowText" lastClr="000000"/>
            </a:solidFill>
          </a:endParaRPr>
        </a:p>
      </xdr:txBody>
    </xdr:sp>
    <xdr:clientData/>
  </xdr:oneCellAnchor>
  <xdr:twoCellAnchor editAs="oneCell">
    <xdr:from>
      <xdr:col>9</xdr:col>
      <xdr:colOff>501650</xdr:colOff>
      <xdr:row>0</xdr:row>
      <xdr:rowOff>0</xdr:rowOff>
    </xdr:from>
    <xdr:to>
      <xdr:col>19</xdr:col>
      <xdr:colOff>0</xdr:colOff>
      <xdr:row>23</xdr:row>
      <xdr:rowOff>78237</xdr:rowOff>
    </xdr:to>
    <xdr:pic>
      <xdr:nvPicPr>
        <xdr:cNvPr id="6" name="Picture 5">
          <a:extLst>
            <a:ext uri="{FF2B5EF4-FFF2-40B4-BE49-F238E27FC236}">
              <a16:creationId xmlns:a16="http://schemas.microsoft.com/office/drawing/2014/main" id="{03742287-8B65-4289-8EA2-7977E9867A60}"/>
            </a:ext>
          </a:extLst>
        </xdr:cNvPr>
        <xdr:cNvPicPr>
          <a:picLocks noChangeAspect="1"/>
        </xdr:cNvPicPr>
      </xdr:nvPicPr>
      <xdr:blipFill>
        <a:blip xmlns:r="http://schemas.openxmlformats.org/officeDocument/2006/relationships" r:embed="rId2"/>
        <a:stretch>
          <a:fillRect/>
        </a:stretch>
      </xdr:blipFill>
      <xdr:spPr>
        <a:xfrm>
          <a:off x="6184900" y="0"/>
          <a:ext cx="5737225" cy="5419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889793</xdr:colOff>
      <xdr:row>33</xdr:row>
      <xdr:rowOff>83344</xdr:rowOff>
    </xdr:from>
    <xdr:to>
      <xdr:col>5</xdr:col>
      <xdr:colOff>35718</xdr:colOff>
      <xdr:row>49</xdr:row>
      <xdr:rowOff>154781</xdr:rowOff>
    </xdr:to>
    <xdr:graphicFrame macro="">
      <xdr:nvGraphicFramePr>
        <xdr:cNvPr id="2" name="Chart 1">
          <a:extLst>
            <a:ext uri="{FF2B5EF4-FFF2-40B4-BE49-F238E27FC236}">
              <a16:creationId xmlns:a16="http://schemas.microsoft.com/office/drawing/2014/main" id="{CA8AF7E8-A34F-431C-9C35-35337382B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r-fs-02\Development\Users\sja\Downloads\Biodiversity%20Metric%202.0%20Calculation%20Tool%20Beta%20Test%20-%20December%202019%20Update%2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rt"/>
      <sheetName val="Instructions"/>
      <sheetName val="Main Menu"/>
      <sheetName val="Results"/>
      <sheetName val="Headline Results"/>
      <sheetName val="Detailed Results"/>
      <sheetName val="Trading Summary"/>
      <sheetName val="A-1 Site Habitat Baseline"/>
      <sheetName val="A-2 Site Habitat Creation"/>
      <sheetName val="A-3 Site Habitat Enhancement"/>
      <sheetName val="A-4 Site Habitat Succession"/>
      <sheetName val="B-1 Site Hedge Baseline"/>
      <sheetName val="B-2 Site Hedge Creation"/>
      <sheetName val="B-3 Site Hedge Enhancement"/>
      <sheetName val="C-1 Site River Baseline"/>
      <sheetName val="C-2 Site River Creation"/>
      <sheetName val="C-3 Site River Enhancement"/>
      <sheetName val="D-1 Off Site Habitat Baseline"/>
      <sheetName val="D-2 Off Site Habitat Creation"/>
      <sheetName val="D-3 Off Site Habitat Enhancment"/>
      <sheetName val="D-4 Off Site Habitat Succession"/>
      <sheetName val="E-1 Off Site Hedge Baseline"/>
      <sheetName val="E-2 Off Site Hedge Creation"/>
      <sheetName val="E-3 Off Site Hedge Enhancement"/>
      <sheetName val="F-1 Off Site River Baseline"/>
      <sheetName val="F-2 Off Site River Creation"/>
      <sheetName val="F-3 Off Site River Enhancement"/>
      <sheetName val="G-1 All Habitats"/>
      <sheetName val="G-2 Habitat groups"/>
      <sheetName val="G-3 Multipliers"/>
      <sheetName val="G-4 Temporal multipliers"/>
      <sheetName val="G-5 Enhancement Temporal"/>
      <sheetName val="G-6 Hedgerow Data"/>
      <sheetName val="G-7 Rivers Data"/>
      <sheetName val="G-8 Condition Look up"/>
      <sheetName val="G-9 Translation Phase 1"/>
      <sheetName val="Technical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F3" t="str">
            <v>Habitat Discription</v>
          </cell>
          <cell r="G3" t="str">
            <v>Good</v>
          </cell>
          <cell r="H3" t="str">
            <v>Fairly Good</v>
          </cell>
          <cell r="I3" t="str">
            <v>Moderate</v>
          </cell>
          <cell r="J3" t="str">
            <v>Fairly Poor</v>
          </cell>
          <cell r="K3" t="str">
            <v>Poor</v>
          </cell>
          <cell r="L3" t="str">
            <v>N/A -Agricultural</v>
          </cell>
          <cell r="M3" t="str">
            <v>N/A - Other</v>
          </cell>
        </row>
        <row r="4">
          <cell r="F4" t="str">
            <v>Cropland - Arable field margins cultivated annually</v>
          </cell>
          <cell r="G4">
            <v>1</v>
          </cell>
          <cell r="H4">
            <v>1</v>
          </cell>
          <cell r="I4">
            <v>1</v>
          </cell>
          <cell r="J4">
            <v>1</v>
          </cell>
          <cell r="K4">
            <v>1</v>
          </cell>
          <cell r="L4">
            <v>1</v>
          </cell>
          <cell r="M4" t="str">
            <v>Not Possible</v>
          </cell>
        </row>
        <row r="5">
          <cell r="F5" t="str">
            <v>Cropland - Arable field margins game bird mix</v>
          </cell>
          <cell r="G5">
            <v>1</v>
          </cell>
          <cell r="H5">
            <v>1</v>
          </cell>
          <cell r="I5">
            <v>1</v>
          </cell>
          <cell r="J5">
            <v>1</v>
          </cell>
          <cell r="K5">
            <v>1</v>
          </cell>
          <cell r="L5">
            <v>1</v>
          </cell>
          <cell r="M5" t="str">
            <v>Not Possible</v>
          </cell>
        </row>
        <row r="6">
          <cell r="F6" t="str">
            <v>Cropland - Arable field margins pollen &amp; nectar</v>
          </cell>
          <cell r="G6">
            <v>1</v>
          </cell>
          <cell r="H6">
            <v>1</v>
          </cell>
          <cell r="I6">
            <v>1</v>
          </cell>
          <cell r="J6">
            <v>1</v>
          </cell>
          <cell r="K6">
            <v>1</v>
          </cell>
          <cell r="L6">
            <v>1</v>
          </cell>
          <cell r="M6" t="str">
            <v>Not Possible</v>
          </cell>
        </row>
        <row r="7">
          <cell r="F7" t="str">
            <v>Cropland - Arable field margins tussocky</v>
          </cell>
          <cell r="G7">
            <v>5</v>
          </cell>
          <cell r="H7">
            <v>4</v>
          </cell>
          <cell r="I7">
            <v>3</v>
          </cell>
          <cell r="J7">
            <v>2</v>
          </cell>
          <cell r="K7">
            <v>1</v>
          </cell>
          <cell r="L7">
            <v>1</v>
          </cell>
          <cell r="M7" t="str">
            <v>Not Possible</v>
          </cell>
        </row>
        <row r="8">
          <cell r="F8" t="str">
            <v>Cropland - Cereal crops</v>
          </cell>
          <cell r="G8">
            <v>1</v>
          </cell>
          <cell r="H8">
            <v>1</v>
          </cell>
          <cell r="I8">
            <v>1</v>
          </cell>
          <cell r="J8">
            <v>1</v>
          </cell>
          <cell r="K8">
            <v>1</v>
          </cell>
          <cell r="L8">
            <v>1</v>
          </cell>
          <cell r="M8" t="str">
            <v>Not Possible</v>
          </cell>
        </row>
        <row r="9">
          <cell r="F9" t="str">
            <v>Cropland - Cereal crops other</v>
          </cell>
          <cell r="G9">
            <v>1</v>
          </cell>
          <cell r="H9">
            <v>1</v>
          </cell>
          <cell r="I9">
            <v>1</v>
          </cell>
          <cell r="J9">
            <v>1</v>
          </cell>
          <cell r="K9">
            <v>1</v>
          </cell>
          <cell r="L9">
            <v>1</v>
          </cell>
          <cell r="M9" t="str">
            <v>Not Possible</v>
          </cell>
        </row>
        <row r="10">
          <cell r="F10" t="str">
            <v>Cropland - Cereal crops winter stubble</v>
          </cell>
          <cell r="G10">
            <v>1</v>
          </cell>
          <cell r="H10">
            <v>1</v>
          </cell>
          <cell r="I10">
            <v>1</v>
          </cell>
          <cell r="J10">
            <v>1</v>
          </cell>
          <cell r="K10">
            <v>1</v>
          </cell>
          <cell r="L10">
            <v>1</v>
          </cell>
          <cell r="M10" t="str">
            <v>Not Possible</v>
          </cell>
        </row>
        <row r="11">
          <cell r="F11" t="str">
            <v>Cropland - Horticulture</v>
          </cell>
          <cell r="G11">
            <v>1</v>
          </cell>
          <cell r="H11">
            <v>1</v>
          </cell>
          <cell r="I11">
            <v>1</v>
          </cell>
          <cell r="J11">
            <v>1</v>
          </cell>
          <cell r="K11">
            <v>1</v>
          </cell>
          <cell r="L11">
            <v>1</v>
          </cell>
          <cell r="M11" t="str">
            <v>Not Possible</v>
          </cell>
        </row>
        <row r="12">
          <cell r="F12" t="str">
            <v>Cropland - Intensive orchards</v>
          </cell>
          <cell r="G12">
            <v>1</v>
          </cell>
          <cell r="H12">
            <v>1</v>
          </cell>
          <cell r="I12">
            <v>1</v>
          </cell>
          <cell r="J12">
            <v>1</v>
          </cell>
          <cell r="K12">
            <v>1</v>
          </cell>
          <cell r="L12">
            <v>1</v>
          </cell>
          <cell r="M12" t="str">
            <v>Not Possible</v>
          </cell>
        </row>
        <row r="13">
          <cell r="F13" t="str">
            <v>Cropland - Non-cereal crops</v>
          </cell>
          <cell r="G13">
            <v>1</v>
          </cell>
          <cell r="H13">
            <v>1</v>
          </cell>
          <cell r="I13">
            <v>1</v>
          </cell>
          <cell r="J13">
            <v>1</v>
          </cell>
          <cell r="K13">
            <v>1</v>
          </cell>
          <cell r="L13">
            <v>1</v>
          </cell>
          <cell r="M13" t="str">
            <v>Not Possible</v>
          </cell>
        </row>
        <row r="14">
          <cell r="F14" t="str">
            <v>Cropland - Temporary grass and clover leys</v>
          </cell>
          <cell r="G14">
            <v>1</v>
          </cell>
          <cell r="H14">
            <v>1</v>
          </cell>
          <cell r="I14">
            <v>1</v>
          </cell>
          <cell r="J14">
            <v>1</v>
          </cell>
          <cell r="K14">
            <v>1</v>
          </cell>
          <cell r="L14">
            <v>1</v>
          </cell>
          <cell r="M14" t="str">
            <v>Not Possible</v>
          </cell>
        </row>
        <row r="15">
          <cell r="F15" t="str">
            <v>Cropland - Traditional orchards</v>
          </cell>
          <cell r="G15">
            <v>30</v>
          </cell>
          <cell r="H15">
            <v>25</v>
          </cell>
          <cell r="I15">
            <v>20</v>
          </cell>
          <cell r="J15">
            <v>10</v>
          </cell>
          <cell r="K15">
            <v>5</v>
          </cell>
          <cell r="L15" t="str">
            <v>Not Possible</v>
          </cell>
          <cell r="M15" t="str">
            <v>Not Possible</v>
          </cell>
        </row>
        <row r="16">
          <cell r="F16" t="str">
            <v>Grassland - Bracken</v>
          </cell>
          <cell r="G16">
            <v>5</v>
          </cell>
          <cell r="H16">
            <v>4</v>
          </cell>
          <cell r="I16">
            <v>3</v>
          </cell>
          <cell r="J16">
            <v>2</v>
          </cell>
          <cell r="K16">
            <v>1</v>
          </cell>
          <cell r="L16" t="str">
            <v>Not Possible</v>
          </cell>
          <cell r="M16" t="str">
            <v>Not Possible</v>
          </cell>
        </row>
        <row r="17">
          <cell r="F17" t="str">
            <v>Grassland - Floodplain Wetland Mosaic (CFGM)</v>
          </cell>
          <cell r="G17">
            <v>30</v>
          </cell>
          <cell r="H17">
            <v>25</v>
          </cell>
          <cell r="I17">
            <v>20</v>
          </cell>
          <cell r="J17">
            <v>15</v>
          </cell>
          <cell r="K17">
            <v>10</v>
          </cell>
          <cell r="L17" t="str">
            <v>Not Possible</v>
          </cell>
          <cell r="M17" t="str">
            <v>Not Possible</v>
          </cell>
        </row>
        <row r="18">
          <cell r="F18" t="str">
            <v>Grassland - Lowland calcareous grassland</v>
          </cell>
          <cell r="G18">
            <v>30</v>
          </cell>
          <cell r="H18">
            <v>25</v>
          </cell>
          <cell r="I18">
            <v>20</v>
          </cell>
          <cell r="J18">
            <v>15</v>
          </cell>
          <cell r="K18">
            <v>10</v>
          </cell>
          <cell r="L18" t="str">
            <v>Not Possible</v>
          </cell>
          <cell r="M18" t="str">
            <v>Not Possible</v>
          </cell>
        </row>
        <row r="19">
          <cell r="F19" t="str">
            <v>Grassland - Lowland dry acid grassland</v>
          </cell>
          <cell r="G19">
            <v>30</v>
          </cell>
          <cell r="H19">
            <v>25</v>
          </cell>
          <cell r="I19">
            <v>20</v>
          </cell>
          <cell r="J19">
            <v>15</v>
          </cell>
          <cell r="K19">
            <v>10</v>
          </cell>
          <cell r="L19" t="str">
            <v>Not Possible</v>
          </cell>
          <cell r="M19" t="str">
            <v>Not Possible</v>
          </cell>
        </row>
        <row r="20">
          <cell r="F20" t="str">
            <v>Grassland - Lowland meadows</v>
          </cell>
          <cell r="G20">
            <v>15</v>
          </cell>
          <cell r="H20">
            <v>12</v>
          </cell>
          <cell r="I20">
            <v>10</v>
          </cell>
          <cell r="J20">
            <v>8</v>
          </cell>
          <cell r="K20">
            <v>5</v>
          </cell>
          <cell r="L20" t="str">
            <v>Not Possible</v>
          </cell>
          <cell r="M20" t="str">
            <v>Not Possible</v>
          </cell>
        </row>
        <row r="21">
          <cell r="F21" t="str">
            <v>Grassland - Modified grassland</v>
          </cell>
          <cell r="G21">
            <v>15</v>
          </cell>
          <cell r="H21">
            <v>12</v>
          </cell>
          <cell r="I21">
            <v>10</v>
          </cell>
          <cell r="J21">
            <v>5</v>
          </cell>
          <cell r="K21">
            <v>1</v>
          </cell>
          <cell r="L21">
            <v>1</v>
          </cell>
          <cell r="M21" t="str">
            <v>Not Possible</v>
          </cell>
        </row>
        <row r="22">
          <cell r="F22" t="str">
            <v>Grassland - Other lowland acid grassland</v>
          </cell>
          <cell r="G22">
            <v>15</v>
          </cell>
          <cell r="H22">
            <v>12</v>
          </cell>
          <cell r="I22">
            <v>10</v>
          </cell>
          <cell r="J22">
            <v>5</v>
          </cell>
          <cell r="K22">
            <v>1</v>
          </cell>
          <cell r="L22" t="str">
            <v>Not Possible</v>
          </cell>
          <cell r="M22" t="str">
            <v>Not Possible</v>
          </cell>
        </row>
        <row r="23">
          <cell r="F23" t="str">
            <v>Grassland - Other neutral grassland</v>
          </cell>
          <cell r="G23">
            <v>15</v>
          </cell>
          <cell r="H23">
            <v>12</v>
          </cell>
          <cell r="I23">
            <v>10</v>
          </cell>
          <cell r="J23">
            <v>5</v>
          </cell>
          <cell r="K23">
            <v>1</v>
          </cell>
          <cell r="L23" t="str">
            <v>Not Possible</v>
          </cell>
          <cell r="M23" t="str">
            <v>Not Possible</v>
          </cell>
        </row>
        <row r="24">
          <cell r="F24" t="str">
            <v>Grassland - Tall herb communities</v>
          </cell>
          <cell r="G24">
            <v>30</v>
          </cell>
          <cell r="H24">
            <v>25</v>
          </cell>
          <cell r="I24">
            <v>20</v>
          </cell>
          <cell r="J24">
            <v>15</v>
          </cell>
          <cell r="K24">
            <v>10</v>
          </cell>
          <cell r="L24" t="str">
            <v>Not Possible</v>
          </cell>
          <cell r="M24" t="str">
            <v>Not Possible</v>
          </cell>
        </row>
        <row r="25">
          <cell r="F25" t="str">
            <v>Grassland - Upland acid grassland</v>
          </cell>
          <cell r="G25">
            <v>15</v>
          </cell>
          <cell r="H25">
            <v>12</v>
          </cell>
          <cell r="I25">
            <v>10</v>
          </cell>
          <cell r="J25">
            <v>5</v>
          </cell>
          <cell r="K25">
            <v>1</v>
          </cell>
          <cell r="L25" t="str">
            <v>Not Possible</v>
          </cell>
          <cell r="M25" t="str">
            <v>Not Possible</v>
          </cell>
        </row>
        <row r="26">
          <cell r="F26" t="str">
            <v>Grassland - Upland calcareous grassland</v>
          </cell>
          <cell r="G26">
            <v>25</v>
          </cell>
          <cell r="H26">
            <v>20</v>
          </cell>
          <cell r="I26">
            <v>15</v>
          </cell>
          <cell r="J26">
            <v>12</v>
          </cell>
          <cell r="K26">
            <v>10</v>
          </cell>
          <cell r="L26" t="str">
            <v>Not Possible</v>
          </cell>
          <cell r="M26" t="str">
            <v>Not Possible</v>
          </cell>
        </row>
        <row r="27">
          <cell r="F27" t="str">
            <v>Grassland - Upland hay meadows</v>
          </cell>
          <cell r="G27">
            <v>20</v>
          </cell>
          <cell r="H27">
            <v>18</v>
          </cell>
          <cell r="I27">
            <v>15</v>
          </cell>
          <cell r="J27">
            <v>12</v>
          </cell>
          <cell r="K27">
            <v>10</v>
          </cell>
          <cell r="L27" t="str">
            <v>Not Possible</v>
          </cell>
          <cell r="M27" t="str">
            <v>Not Possible</v>
          </cell>
        </row>
        <row r="28">
          <cell r="F28" t="str">
            <v>Heathland and shrub - Blackthorn scrub</v>
          </cell>
          <cell r="G28">
            <v>7</v>
          </cell>
          <cell r="H28">
            <v>5</v>
          </cell>
          <cell r="I28">
            <v>3</v>
          </cell>
          <cell r="J28">
            <v>2</v>
          </cell>
          <cell r="K28">
            <v>1</v>
          </cell>
          <cell r="L28" t="str">
            <v>Not Possible</v>
          </cell>
          <cell r="M28" t="str">
            <v>Not Possible</v>
          </cell>
        </row>
        <row r="29">
          <cell r="F29" t="str">
            <v>Heathland and shrub - Bramble scrub</v>
          </cell>
          <cell r="G29">
            <v>5</v>
          </cell>
          <cell r="H29">
            <v>4</v>
          </cell>
          <cell r="I29">
            <v>3</v>
          </cell>
          <cell r="J29">
            <v>2</v>
          </cell>
          <cell r="K29">
            <v>1</v>
          </cell>
          <cell r="L29" t="str">
            <v>Not Possible</v>
          </cell>
          <cell r="M29" t="str">
            <v>Not Possible</v>
          </cell>
        </row>
        <row r="30">
          <cell r="F30" t="str">
            <v>Heathland and shrub - Gorse scrub</v>
          </cell>
          <cell r="G30">
            <v>10</v>
          </cell>
          <cell r="H30">
            <v>7</v>
          </cell>
          <cell r="I30">
            <v>5</v>
          </cell>
          <cell r="J30">
            <v>3</v>
          </cell>
          <cell r="K30">
            <v>1</v>
          </cell>
          <cell r="L30" t="str">
            <v>Not Possible</v>
          </cell>
          <cell r="M30" t="str">
            <v>Not Possible</v>
          </cell>
        </row>
        <row r="31">
          <cell r="F31" t="str">
            <v>Heathland and shrub - Hawthorn scrub</v>
          </cell>
          <cell r="G31">
            <v>7</v>
          </cell>
          <cell r="H31">
            <v>5</v>
          </cell>
          <cell r="I31">
            <v>3</v>
          </cell>
          <cell r="J31">
            <v>2</v>
          </cell>
          <cell r="K31">
            <v>1</v>
          </cell>
          <cell r="L31" t="str">
            <v>Not Possible</v>
          </cell>
          <cell r="M31" t="str">
            <v>Not Possible</v>
          </cell>
        </row>
        <row r="32">
          <cell r="F32" t="str">
            <v>Heathland and shrub - Hazel scrub</v>
          </cell>
          <cell r="G32">
            <v>15</v>
          </cell>
          <cell r="H32">
            <v>12</v>
          </cell>
          <cell r="I32">
            <v>10</v>
          </cell>
          <cell r="J32">
            <v>7</v>
          </cell>
          <cell r="K32">
            <v>5</v>
          </cell>
          <cell r="L32" t="str">
            <v>Not Possible</v>
          </cell>
          <cell r="M32" t="str">
            <v>Not Possible</v>
          </cell>
        </row>
        <row r="33">
          <cell r="F33" t="str">
            <v>Heathland and shrub - Lowland Heathland</v>
          </cell>
          <cell r="G33" t="str">
            <v>32+</v>
          </cell>
          <cell r="H33">
            <v>25</v>
          </cell>
          <cell r="I33">
            <v>20</v>
          </cell>
          <cell r="J33">
            <v>15</v>
          </cell>
          <cell r="K33">
            <v>10</v>
          </cell>
          <cell r="L33" t="str">
            <v>Not Possible</v>
          </cell>
          <cell r="M33" t="str">
            <v>Not Possible</v>
          </cell>
        </row>
        <row r="34">
          <cell r="F34" t="str">
            <v>Heathland and shrub - Mixed scrub</v>
          </cell>
          <cell r="G34">
            <v>7</v>
          </cell>
          <cell r="H34">
            <v>5</v>
          </cell>
          <cell r="I34">
            <v>3</v>
          </cell>
          <cell r="J34">
            <v>2</v>
          </cell>
          <cell r="K34">
            <v>1</v>
          </cell>
          <cell r="L34" t="str">
            <v>Not Possible</v>
          </cell>
          <cell r="M34" t="str">
            <v>Not Possible</v>
          </cell>
        </row>
        <row r="35">
          <cell r="F35" t="str">
            <v>Heathland and shrub - Mountain heaths and willow scrub</v>
          </cell>
          <cell r="G35" t="str">
            <v>32+</v>
          </cell>
          <cell r="H35" t="str">
            <v>32+</v>
          </cell>
          <cell r="I35">
            <v>25</v>
          </cell>
          <cell r="J35">
            <v>23</v>
          </cell>
          <cell r="K35">
            <v>15</v>
          </cell>
          <cell r="L35" t="str">
            <v>Not Possible</v>
          </cell>
          <cell r="M35" t="str">
            <v>Not Possible</v>
          </cell>
        </row>
        <row r="36">
          <cell r="F36" t="str">
            <v>Heathland and shrub - Rhododendron scrub</v>
          </cell>
          <cell r="G36">
            <v>7</v>
          </cell>
          <cell r="H36">
            <v>5</v>
          </cell>
          <cell r="I36">
            <v>3</v>
          </cell>
          <cell r="J36">
            <v>2</v>
          </cell>
          <cell r="K36">
            <v>1</v>
          </cell>
          <cell r="L36" t="str">
            <v>Not Possible</v>
          </cell>
          <cell r="M36" t="str">
            <v>Not Possible</v>
          </cell>
        </row>
        <row r="37">
          <cell r="F37" t="str">
            <v>Heathland and shrub - Sea buckthorn scrub (Annex 1)</v>
          </cell>
          <cell r="G37">
            <v>7</v>
          </cell>
          <cell r="H37">
            <v>5</v>
          </cell>
          <cell r="I37">
            <v>3</v>
          </cell>
          <cell r="J37">
            <v>2</v>
          </cell>
          <cell r="K37">
            <v>1</v>
          </cell>
          <cell r="L37" t="str">
            <v>Not Possible</v>
          </cell>
          <cell r="M37" t="str">
            <v>Not Possible</v>
          </cell>
        </row>
        <row r="38">
          <cell r="F38" t="str">
            <v>Heathland and shrub - Sea buckthorn scrub (other)</v>
          </cell>
          <cell r="G38">
            <v>7</v>
          </cell>
          <cell r="H38">
            <v>5</v>
          </cell>
          <cell r="I38">
            <v>3</v>
          </cell>
          <cell r="J38">
            <v>2</v>
          </cell>
          <cell r="K38">
            <v>1</v>
          </cell>
          <cell r="L38" t="str">
            <v>Not Possible</v>
          </cell>
          <cell r="M38" t="str">
            <v>Not Possible</v>
          </cell>
        </row>
        <row r="39">
          <cell r="F39" t="str">
            <v>Heathland and shrub - Upland Heathland</v>
          </cell>
          <cell r="G39">
            <v>30</v>
          </cell>
          <cell r="H39">
            <v>25</v>
          </cell>
          <cell r="I39">
            <v>20</v>
          </cell>
          <cell r="J39">
            <v>15</v>
          </cell>
          <cell r="K39">
            <v>10</v>
          </cell>
          <cell r="L39" t="str">
            <v>Not Possible</v>
          </cell>
          <cell r="M39" t="str">
            <v>Not Possible</v>
          </cell>
        </row>
        <row r="40">
          <cell r="F40" t="str">
            <v xml:space="preserve"> lakes - Aquifer fed naturally fluctuating water bodies</v>
          </cell>
          <cell r="G40">
            <v>30</v>
          </cell>
          <cell r="H40">
            <v>20</v>
          </cell>
          <cell r="I40">
            <v>15</v>
          </cell>
          <cell r="J40">
            <v>10</v>
          </cell>
          <cell r="K40">
            <v>1</v>
          </cell>
          <cell r="L40" t="str">
            <v>Not Possible</v>
          </cell>
          <cell r="M40" t="str">
            <v>Not Possible</v>
          </cell>
        </row>
        <row r="41">
          <cell r="F41" t="str">
            <v>Lakes - Ditches</v>
          </cell>
          <cell r="G41">
            <v>10</v>
          </cell>
          <cell r="H41">
            <v>7</v>
          </cell>
          <cell r="I41">
            <v>5</v>
          </cell>
          <cell r="J41">
            <v>3</v>
          </cell>
          <cell r="K41">
            <v>1</v>
          </cell>
          <cell r="L41" t="str">
            <v>Not Possible</v>
          </cell>
          <cell r="M41" t="str">
            <v>Not Possible</v>
          </cell>
        </row>
        <row r="42">
          <cell r="F42" t="str">
            <v>Lakes - High alkalinity lakes</v>
          </cell>
          <cell r="G42">
            <v>10</v>
          </cell>
          <cell r="H42">
            <v>7</v>
          </cell>
          <cell r="I42">
            <v>5</v>
          </cell>
          <cell r="J42">
            <v>3</v>
          </cell>
          <cell r="K42">
            <v>2</v>
          </cell>
          <cell r="L42" t="str">
            <v>Not Possible</v>
          </cell>
          <cell r="M42" t="str">
            <v>Not Possible</v>
          </cell>
        </row>
        <row r="43">
          <cell r="F43" t="str">
            <v>Lakes - Low alkalinity lakes</v>
          </cell>
          <cell r="G43">
            <v>30</v>
          </cell>
          <cell r="H43">
            <v>20</v>
          </cell>
          <cell r="I43">
            <v>15</v>
          </cell>
          <cell r="J43">
            <v>10</v>
          </cell>
          <cell r="K43">
            <v>5</v>
          </cell>
          <cell r="L43" t="str">
            <v>Not Possible</v>
          </cell>
          <cell r="M43" t="str">
            <v>Not Possible</v>
          </cell>
        </row>
        <row r="44">
          <cell r="F44" t="str">
            <v>Lakes - Marl Lakes</v>
          </cell>
          <cell r="G44">
            <v>20</v>
          </cell>
          <cell r="H44">
            <v>15</v>
          </cell>
          <cell r="I44">
            <v>10</v>
          </cell>
          <cell r="J44">
            <v>7</v>
          </cell>
          <cell r="K44">
            <v>5</v>
          </cell>
          <cell r="L44" t="str">
            <v>Not Possible</v>
          </cell>
          <cell r="M44" t="str">
            <v>Not Possible</v>
          </cell>
        </row>
        <row r="45">
          <cell r="F45" t="str">
            <v>Lakes - Moderate alkalinity lakes</v>
          </cell>
          <cell r="G45">
            <v>20</v>
          </cell>
          <cell r="H45">
            <v>15</v>
          </cell>
          <cell r="I45">
            <v>10</v>
          </cell>
          <cell r="J45">
            <v>7</v>
          </cell>
          <cell r="K45">
            <v>5</v>
          </cell>
          <cell r="L45" t="str">
            <v>Not Possible</v>
          </cell>
          <cell r="M45" t="str">
            <v>Not Possible</v>
          </cell>
        </row>
        <row r="46">
          <cell r="F46" t="str">
            <v>Lakes - Peat Lakes</v>
          </cell>
          <cell r="G46">
            <v>30</v>
          </cell>
          <cell r="H46">
            <v>20</v>
          </cell>
          <cell r="I46">
            <v>15</v>
          </cell>
          <cell r="J46">
            <v>10</v>
          </cell>
          <cell r="K46">
            <v>5</v>
          </cell>
          <cell r="L46" t="str">
            <v>Not Possible</v>
          </cell>
          <cell r="M46" t="str">
            <v>Not Possible</v>
          </cell>
        </row>
        <row r="47">
          <cell r="F47" t="str">
            <v xml:space="preserve"> Lakes - Ponds (Priority Habitat)</v>
          </cell>
          <cell r="G47">
            <v>10</v>
          </cell>
          <cell r="H47">
            <v>7</v>
          </cell>
          <cell r="I47">
            <v>5</v>
          </cell>
          <cell r="J47">
            <v>3</v>
          </cell>
          <cell r="K47">
            <v>2</v>
          </cell>
          <cell r="L47" t="str">
            <v>Not Possible</v>
          </cell>
          <cell r="M47" t="str">
            <v>Not Possible</v>
          </cell>
        </row>
        <row r="48">
          <cell r="F48" t="str">
            <v xml:space="preserve"> Lakes - Ponds (Non- Priority Habitat)</v>
          </cell>
          <cell r="G48">
            <v>5</v>
          </cell>
          <cell r="H48">
            <v>4</v>
          </cell>
          <cell r="I48">
            <v>3</v>
          </cell>
          <cell r="J48">
            <v>2</v>
          </cell>
          <cell r="K48">
            <v>1</v>
          </cell>
          <cell r="L48" t="str">
            <v>Not Possible</v>
          </cell>
          <cell r="M48" t="str">
            <v>Not Possible</v>
          </cell>
        </row>
        <row r="49">
          <cell r="F49" t="str">
            <v xml:space="preserve"> Lakes - Reservoirs</v>
          </cell>
          <cell r="G49">
            <v>10</v>
          </cell>
          <cell r="H49">
            <v>7</v>
          </cell>
          <cell r="I49">
            <v>5</v>
          </cell>
          <cell r="J49">
            <v>3</v>
          </cell>
          <cell r="K49">
            <v>1</v>
          </cell>
          <cell r="L49" t="str">
            <v>Not Possible</v>
          </cell>
          <cell r="M49" t="str">
            <v>Not Possible</v>
          </cell>
        </row>
        <row r="50">
          <cell r="F50" t="str">
            <v>Lakes - Temporary lakes, ponds and pools</v>
          </cell>
          <cell r="G50">
            <v>10</v>
          </cell>
          <cell r="H50">
            <v>7</v>
          </cell>
          <cell r="I50">
            <v>5</v>
          </cell>
          <cell r="J50">
            <v>3</v>
          </cell>
          <cell r="K50">
            <v>2</v>
          </cell>
          <cell r="L50" t="str">
            <v>Not Possible</v>
          </cell>
          <cell r="M50" t="str">
            <v>Not Possible</v>
          </cell>
        </row>
        <row r="51">
          <cell r="F51" t="str">
            <v>Sparsely vegetated land - Calaminarian grasslands</v>
          </cell>
          <cell r="G51">
            <v>10</v>
          </cell>
          <cell r="H51">
            <v>7</v>
          </cell>
          <cell r="I51">
            <v>5</v>
          </cell>
          <cell r="J51">
            <v>3</v>
          </cell>
          <cell r="K51">
            <v>2</v>
          </cell>
          <cell r="L51" t="str">
            <v>Not Possible</v>
          </cell>
          <cell r="M51" t="str">
            <v>Not Possible</v>
          </cell>
        </row>
        <row r="52">
          <cell r="F52" t="str">
            <v>Sparsely vegetated land - Coastal sand dunes</v>
          </cell>
          <cell r="G52">
            <v>20</v>
          </cell>
          <cell r="H52">
            <v>15</v>
          </cell>
          <cell r="I52">
            <v>10</v>
          </cell>
          <cell r="J52">
            <v>7</v>
          </cell>
          <cell r="K52">
            <v>5</v>
          </cell>
          <cell r="L52" t="str">
            <v>Not Possible</v>
          </cell>
          <cell r="M52" t="str">
            <v>Not Possible</v>
          </cell>
        </row>
        <row r="53">
          <cell r="F53" t="str">
            <v>Sparsely vegetated land - Coastal vegetated shingle</v>
          </cell>
          <cell r="G53">
            <v>20</v>
          </cell>
          <cell r="H53">
            <v>15</v>
          </cell>
          <cell r="I53">
            <v>10</v>
          </cell>
          <cell r="J53">
            <v>7</v>
          </cell>
          <cell r="K53">
            <v>5</v>
          </cell>
          <cell r="L53" t="str">
            <v>Not Possible</v>
          </cell>
          <cell r="M53" t="str">
            <v>Not Possible</v>
          </cell>
        </row>
        <row r="54">
          <cell r="F54" t="str">
            <v>Sparsely vegetated land - Ruderal/Ephemeral</v>
          </cell>
          <cell r="G54">
            <v>5</v>
          </cell>
          <cell r="H54">
            <v>4</v>
          </cell>
          <cell r="I54">
            <v>3</v>
          </cell>
          <cell r="J54">
            <v>2</v>
          </cell>
          <cell r="K54">
            <v>1</v>
          </cell>
          <cell r="L54" t="str">
            <v>Not Possible</v>
          </cell>
          <cell r="M54" t="str">
            <v>Not Possible</v>
          </cell>
        </row>
        <row r="55">
          <cell r="F55" t="str">
            <v>Sparsely vegetated land - Inland rock outcrop and scree habitats</v>
          </cell>
          <cell r="G55" t="str">
            <v>32+</v>
          </cell>
          <cell r="H55">
            <v>25</v>
          </cell>
          <cell r="I55">
            <v>20</v>
          </cell>
          <cell r="J55">
            <v>15</v>
          </cell>
          <cell r="K55">
            <v>10</v>
          </cell>
          <cell r="L55" t="str">
            <v>Not Possible</v>
          </cell>
          <cell r="M55" t="str">
            <v>Not Possible</v>
          </cell>
        </row>
        <row r="56">
          <cell r="F56" t="str">
            <v>Sparsely vegetated land - Limestone pavement</v>
          </cell>
          <cell r="G56" t="str">
            <v>32+</v>
          </cell>
          <cell r="H56" t="str">
            <v>32+</v>
          </cell>
          <cell r="I56" t="str">
            <v>32+</v>
          </cell>
          <cell r="J56" t="str">
            <v>32+</v>
          </cell>
          <cell r="K56" t="str">
            <v>32+</v>
          </cell>
          <cell r="L56" t="str">
            <v>Not Possible</v>
          </cell>
          <cell r="M56" t="str">
            <v>Not Possible</v>
          </cell>
        </row>
        <row r="57">
          <cell r="F57" t="str">
            <v>Sparsely vegetated land - Maritime cliff and slopes</v>
          </cell>
          <cell r="G57" t="str">
            <v>32+</v>
          </cell>
          <cell r="H57">
            <v>25</v>
          </cell>
          <cell r="I57">
            <v>15</v>
          </cell>
          <cell r="J57">
            <v>10</v>
          </cell>
          <cell r="K57">
            <v>5</v>
          </cell>
          <cell r="L57" t="str">
            <v>Not Possible</v>
          </cell>
          <cell r="M57" t="str">
            <v>Not Possible</v>
          </cell>
        </row>
        <row r="58">
          <cell r="F58" t="str">
            <v>Sparsely vegetated land - Other inland rock and scree</v>
          </cell>
          <cell r="G58">
            <v>20</v>
          </cell>
          <cell r="H58">
            <v>15</v>
          </cell>
          <cell r="I58">
            <v>10</v>
          </cell>
          <cell r="J58">
            <v>7</v>
          </cell>
          <cell r="K58">
            <v>5</v>
          </cell>
          <cell r="L58" t="str">
            <v>Not Possible</v>
          </cell>
          <cell r="M58" t="str">
            <v>Not Possible</v>
          </cell>
        </row>
        <row r="59">
          <cell r="F59" t="str">
            <v>Urban - Allotments</v>
          </cell>
          <cell r="G59">
            <v>1</v>
          </cell>
          <cell r="H59">
            <v>1</v>
          </cell>
          <cell r="I59">
            <v>1</v>
          </cell>
          <cell r="J59">
            <v>1</v>
          </cell>
          <cell r="K59">
            <v>1</v>
          </cell>
          <cell r="L59" t="str">
            <v>Not Possible</v>
          </cell>
          <cell r="M59" t="str">
            <v>Not Possible</v>
          </cell>
        </row>
        <row r="60">
          <cell r="F60" t="str">
            <v>Urban - Artificial lake or pond</v>
          </cell>
          <cell r="G60">
            <v>5</v>
          </cell>
          <cell r="H60">
            <v>4</v>
          </cell>
          <cell r="I60">
            <v>3</v>
          </cell>
          <cell r="J60">
            <v>2</v>
          </cell>
          <cell r="K60">
            <v>1</v>
          </cell>
          <cell r="L60" t="str">
            <v>Not Possible</v>
          </cell>
          <cell r="M60" t="str">
            <v>Not Possible</v>
          </cell>
        </row>
        <row r="61">
          <cell r="F61" t="str">
            <v>Urban - Artificial unvegetated, unsealed surface</v>
          </cell>
          <cell r="G61">
            <v>1</v>
          </cell>
          <cell r="H61">
            <v>1</v>
          </cell>
          <cell r="I61">
            <v>1</v>
          </cell>
          <cell r="J61">
            <v>1</v>
          </cell>
          <cell r="K61">
            <v>1</v>
          </cell>
          <cell r="L61" t="str">
            <v>Not Possible</v>
          </cell>
          <cell r="M61">
            <v>0</v>
          </cell>
        </row>
        <row r="62">
          <cell r="F62" t="str">
            <v>Urban - Bioswale</v>
          </cell>
          <cell r="G62">
            <v>3</v>
          </cell>
          <cell r="H62">
            <v>2</v>
          </cell>
          <cell r="I62">
            <v>1</v>
          </cell>
          <cell r="J62">
            <v>1</v>
          </cell>
          <cell r="K62">
            <v>1</v>
          </cell>
          <cell r="L62" t="str">
            <v>Not Possible</v>
          </cell>
          <cell r="M62" t="str">
            <v>Not Possible</v>
          </cell>
        </row>
        <row r="63">
          <cell r="F63" t="str">
            <v>Urban - Brown roof</v>
          </cell>
          <cell r="G63">
            <v>10</v>
          </cell>
          <cell r="H63">
            <v>7</v>
          </cell>
          <cell r="I63">
            <v>5</v>
          </cell>
          <cell r="J63">
            <v>3</v>
          </cell>
          <cell r="K63">
            <v>1</v>
          </cell>
          <cell r="L63" t="str">
            <v>Not Possible</v>
          </cell>
          <cell r="M63" t="str">
            <v>Not Possible</v>
          </cell>
        </row>
        <row r="64">
          <cell r="F64" t="str">
            <v>Urban - Built linear features</v>
          </cell>
          <cell r="G64" t="str">
            <v>Not Possible</v>
          </cell>
          <cell r="H64" t="str">
            <v>Not Possible</v>
          </cell>
          <cell r="I64" t="str">
            <v>Not Possible</v>
          </cell>
          <cell r="J64" t="str">
            <v>Not Possible</v>
          </cell>
          <cell r="K64" t="str">
            <v>Not Possible</v>
          </cell>
          <cell r="L64" t="str">
            <v>Not Possible</v>
          </cell>
          <cell r="M64">
            <v>0</v>
          </cell>
        </row>
        <row r="65">
          <cell r="F65" t="str">
            <v>Urban - Cemeteries and churchyards</v>
          </cell>
          <cell r="G65">
            <v>20</v>
          </cell>
          <cell r="H65">
            <v>17</v>
          </cell>
          <cell r="I65">
            <v>15</v>
          </cell>
          <cell r="J65">
            <v>12</v>
          </cell>
          <cell r="K65">
            <v>10</v>
          </cell>
          <cell r="L65" t="str">
            <v>Not Possible</v>
          </cell>
          <cell r="M65" t="str">
            <v>Not Possible</v>
          </cell>
        </row>
        <row r="66">
          <cell r="F66" t="str">
            <v>Urban - Developed land; sealed surface</v>
          </cell>
          <cell r="G66" t="str">
            <v>Not Possible</v>
          </cell>
          <cell r="H66" t="str">
            <v>Not Possible</v>
          </cell>
          <cell r="I66" t="str">
            <v>Not Possible</v>
          </cell>
          <cell r="J66" t="str">
            <v>Not Possible</v>
          </cell>
          <cell r="K66" t="str">
            <v>Not Possible</v>
          </cell>
          <cell r="L66" t="str">
            <v>Not Possible</v>
          </cell>
          <cell r="M66">
            <v>0</v>
          </cell>
        </row>
        <row r="67">
          <cell r="F67" t="str">
            <v>Urban - Extensive green roof</v>
          </cell>
          <cell r="G67">
            <v>5</v>
          </cell>
          <cell r="H67">
            <v>4</v>
          </cell>
          <cell r="I67">
            <v>3</v>
          </cell>
          <cell r="J67">
            <v>2</v>
          </cell>
          <cell r="K67">
            <v>1</v>
          </cell>
          <cell r="L67" t="str">
            <v>Not Possible</v>
          </cell>
          <cell r="M67" t="str">
            <v>Not Possible</v>
          </cell>
        </row>
        <row r="68">
          <cell r="F68" t="str">
            <v>Urban - Façade-bound green wall</v>
          </cell>
          <cell r="G68">
            <v>5</v>
          </cell>
          <cell r="H68">
            <v>4</v>
          </cell>
          <cell r="I68">
            <v>3</v>
          </cell>
          <cell r="J68">
            <v>2</v>
          </cell>
          <cell r="K68">
            <v>1</v>
          </cell>
          <cell r="L68" t="str">
            <v>Not Possible</v>
          </cell>
          <cell r="M68" t="str">
            <v>Not Possible</v>
          </cell>
        </row>
        <row r="69">
          <cell r="F69" t="str">
            <v>Urban - Ground based green wall</v>
          </cell>
          <cell r="G69">
            <v>5</v>
          </cell>
          <cell r="H69">
            <v>4</v>
          </cell>
          <cell r="I69">
            <v>3</v>
          </cell>
          <cell r="J69">
            <v>2</v>
          </cell>
          <cell r="K69">
            <v>1</v>
          </cell>
          <cell r="L69" t="str">
            <v>Not Possible</v>
          </cell>
          <cell r="M69" t="str">
            <v>Not Possible</v>
          </cell>
        </row>
        <row r="70">
          <cell r="F70" t="str">
            <v>Urban - Ground level planters</v>
          </cell>
          <cell r="G70">
            <v>1</v>
          </cell>
          <cell r="H70">
            <v>1</v>
          </cell>
          <cell r="I70">
            <v>1</v>
          </cell>
          <cell r="J70">
            <v>1</v>
          </cell>
          <cell r="K70">
            <v>1</v>
          </cell>
          <cell r="L70" t="str">
            <v>Not Possible</v>
          </cell>
          <cell r="M70" t="str">
            <v>Not Possible</v>
          </cell>
        </row>
        <row r="71">
          <cell r="F71" t="str">
            <v>Urban - Intensive green roof</v>
          </cell>
          <cell r="G71">
            <v>10</v>
          </cell>
          <cell r="H71">
            <v>8</v>
          </cell>
          <cell r="I71">
            <v>5</v>
          </cell>
          <cell r="J71">
            <v>3</v>
          </cell>
          <cell r="K71">
            <v>1</v>
          </cell>
          <cell r="L71" t="str">
            <v>Not Possible</v>
          </cell>
          <cell r="M71" t="str">
            <v>Not Possible</v>
          </cell>
        </row>
        <row r="72">
          <cell r="F72" t="str">
            <v>Urban - Introduced shrub</v>
          </cell>
          <cell r="G72">
            <v>1</v>
          </cell>
          <cell r="H72">
            <v>1</v>
          </cell>
          <cell r="I72">
            <v>1</v>
          </cell>
          <cell r="J72">
            <v>1</v>
          </cell>
          <cell r="K72">
            <v>1</v>
          </cell>
          <cell r="L72" t="str">
            <v>Not Possible</v>
          </cell>
          <cell r="M72" t="str">
            <v>Not Possible</v>
          </cell>
        </row>
        <row r="73">
          <cell r="F73" t="str">
            <v>Urban - Amenity grassland</v>
          </cell>
          <cell r="G73" t="str">
            <v>Not Possible</v>
          </cell>
          <cell r="H73" t="str">
            <v>Not Possible</v>
          </cell>
          <cell r="I73">
            <v>3</v>
          </cell>
          <cell r="J73">
            <v>2</v>
          </cell>
          <cell r="K73">
            <v>1</v>
          </cell>
          <cell r="L73" t="str">
            <v>Not Possible</v>
          </cell>
          <cell r="M73" t="str">
            <v>Not Possible</v>
          </cell>
        </row>
        <row r="74">
          <cell r="F74" t="str">
            <v>Urban - Open Mosaic Habitats on Previously Developed Land</v>
          </cell>
          <cell r="G74">
            <v>10</v>
          </cell>
          <cell r="H74">
            <v>7</v>
          </cell>
          <cell r="I74">
            <v>4</v>
          </cell>
          <cell r="J74">
            <v>2</v>
          </cell>
          <cell r="K74">
            <v>0</v>
          </cell>
          <cell r="L74" t="str">
            <v>Not Possible</v>
          </cell>
          <cell r="M74" t="str">
            <v>Not Possible</v>
          </cell>
        </row>
        <row r="75">
          <cell r="F75" t="str">
            <v>Urban - Orchard</v>
          </cell>
          <cell r="G75">
            <v>25</v>
          </cell>
          <cell r="H75">
            <v>20</v>
          </cell>
          <cell r="I75">
            <v>15</v>
          </cell>
          <cell r="J75">
            <v>10</v>
          </cell>
          <cell r="K75">
            <v>5</v>
          </cell>
          <cell r="L75" t="str">
            <v>Not Possible</v>
          </cell>
          <cell r="M75" t="str">
            <v>Not Possible</v>
          </cell>
        </row>
        <row r="76">
          <cell r="F76" t="str">
            <v>Urban - Rain garden</v>
          </cell>
          <cell r="G76">
            <v>1</v>
          </cell>
          <cell r="H76">
            <v>1</v>
          </cell>
          <cell r="I76">
            <v>1</v>
          </cell>
          <cell r="J76">
            <v>1</v>
          </cell>
          <cell r="K76">
            <v>1</v>
          </cell>
          <cell r="L76" t="str">
            <v>Not Possible</v>
          </cell>
          <cell r="M76" t="str">
            <v>Not Possible</v>
          </cell>
        </row>
        <row r="77">
          <cell r="F77" t="str">
            <v>Urban - Sand pit quarry or open cast mine</v>
          </cell>
          <cell r="G77">
            <v>1</v>
          </cell>
          <cell r="H77">
            <v>1</v>
          </cell>
          <cell r="I77">
            <v>1</v>
          </cell>
          <cell r="J77">
            <v>1</v>
          </cell>
          <cell r="K77">
            <v>1</v>
          </cell>
          <cell r="L77" t="str">
            <v>Not Possible</v>
          </cell>
          <cell r="M77" t="str">
            <v>Not Possible</v>
          </cell>
        </row>
        <row r="78">
          <cell r="F78" t="str">
            <v>Urban - Street Tree</v>
          </cell>
          <cell r="G78" t="str">
            <v>Not Possible</v>
          </cell>
          <cell r="H78" t="str">
            <v>Not Possible</v>
          </cell>
          <cell r="I78">
            <v>27</v>
          </cell>
          <cell r="J78" t="str">
            <v>Not Possible</v>
          </cell>
          <cell r="K78" t="str">
            <v>Not Possible</v>
          </cell>
          <cell r="L78" t="str">
            <v>Not Possible</v>
          </cell>
          <cell r="M78" t="str">
            <v>Not Possible</v>
          </cell>
        </row>
        <row r="79">
          <cell r="F79" t="str">
            <v>Urban - Suburban/ mosaic of developed/ natural surface</v>
          </cell>
          <cell r="G79">
            <v>5</v>
          </cell>
          <cell r="H79">
            <v>4</v>
          </cell>
          <cell r="I79">
            <v>3</v>
          </cell>
          <cell r="J79">
            <v>2</v>
          </cell>
          <cell r="K79">
            <v>1</v>
          </cell>
          <cell r="L79" t="str">
            <v>Not Possible</v>
          </cell>
          <cell r="M79" t="str">
            <v>Not Possible</v>
          </cell>
        </row>
        <row r="80">
          <cell r="F80" t="str">
            <v>Urban - Sustainable urban drainage feature</v>
          </cell>
          <cell r="G80">
            <v>5</v>
          </cell>
          <cell r="H80">
            <v>4</v>
          </cell>
          <cell r="I80">
            <v>3</v>
          </cell>
          <cell r="J80">
            <v>2</v>
          </cell>
          <cell r="K80">
            <v>1</v>
          </cell>
          <cell r="L80" t="str">
            <v>Not Possible</v>
          </cell>
          <cell r="M80" t="str">
            <v>Not Possible</v>
          </cell>
        </row>
        <row r="81">
          <cell r="F81" t="str">
            <v>Urban - Un-vegetated garden</v>
          </cell>
          <cell r="G81" t="str">
            <v>Not Possible</v>
          </cell>
          <cell r="H81" t="str">
            <v>Not Possible</v>
          </cell>
          <cell r="I81" t="str">
            <v>Not Possible</v>
          </cell>
          <cell r="J81" t="str">
            <v>Not Possible</v>
          </cell>
          <cell r="K81" t="str">
            <v>Not Possible</v>
          </cell>
          <cell r="L81" t="str">
            <v>Not Possible</v>
          </cell>
          <cell r="M81">
            <v>0</v>
          </cell>
        </row>
        <row r="82">
          <cell r="F82" t="str">
            <v>Urban - Vacant/derelict land/ bareground</v>
          </cell>
          <cell r="G82">
            <v>1</v>
          </cell>
          <cell r="H82">
            <v>1</v>
          </cell>
          <cell r="I82">
            <v>1</v>
          </cell>
          <cell r="J82">
            <v>1</v>
          </cell>
          <cell r="K82">
            <v>1</v>
          </cell>
          <cell r="L82" t="str">
            <v>Not Possible</v>
          </cell>
          <cell r="M82" t="str">
            <v>Not Possible</v>
          </cell>
        </row>
        <row r="83">
          <cell r="F83" t="str">
            <v>Urban - Vegetated garden</v>
          </cell>
          <cell r="G83">
            <v>5</v>
          </cell>
          <cell r="H83">
            <v>4</v>
          </cell>
          <cell r="I83">
            <v>3</v>
          </cell>
          <cell r="J83">
            <v>2</v>
          </cell>
          <cell r="K83">
            <v>1</v>
          </cell>
          <cell r="L83" t="str">
            <v>Not Possible</v>
          </cell>
          <cell r="M83" t="str">
            <v>Not Possible</v>
          </cell>
        </row>
        <row r="84">
          <cell r="F84" t="str">
            <v>Urban - Woodland</v>
          </cell>
          <cell r="G84" t="str">
            <v>32+</v>
          </cell>
          <cell r="H84">
            <v>30</v>
          </cell>
          <cell r="I84">
            <v>27</v>
          </cell>
          <cell r="J84">
            <v>25</v>
          </cell>
          <cell r="K84">
            <v>20</v>
          </cell>
          <cell r="L84" t="str">
            <v>Not Possible</v>
          </cell>
          <cell r="M84" t="str">
            <v>Not Possible</v>
          </cell>
        </row>
        <row r="85">
          <cell r="F85" t="str">
            <v>Wetland - Blanket bog</v>
          </cell>
          <cell r="G85" t="str">
            <v>32+</v>
          </cell>
          <cell r="H85" t="str">
            <v>32+</v>
          </cell>
          <cell r="I85">
            <v>30</v>
          </cell>
          <cell r="J85">
            <v>25</v>
          </cell>
          <cell r="K85">
            <v>15</v>
          </cell>
          <cell r="L85" t="str">
            <v>Not Possible</v>
          </cell>
          <cell r="M85" t="str">
            <v>Not Possible</v>
          </cell>
        </row>
        <row r="86">
          <cell r="F86" t="str">
            <v>Wetland - Depressions on Peat substrates (H7150)</v>
          </cell>
          <cell r="G86" t="str">
            <v>32+</v>
          </cell>
          <cell r="H86" t="str">
            <v>32+</v>
          </cell>
          <cell r="I86">
            <v>30</v>
          </cell>
          <cell r="J86">
            <v>25</v>
          </cell>
          <cell r="K86">
            <v>15</v>
          </cell>
          <cell r="L86" t="str">
            <v>Not Possible</v>
          </cell>
          <cell r="M86" t="str">
            <v>Not Possible</v>
          </cell>
        </row>
        <row r="87">
          <cell r="F87" t="str">
            <v>Wetland - Fens (upland and lowland)</v>
          </cell>
          <cell r="G87">
            <v>30</v>
          </cell>
          <cell r="H87">
            <v>25</v>
          </cell>
          <cell r="I87">
            <v>15</v>
          </cell>
          <cell r="J87">
            <v>12</v>
          </cell>
          <cell r="K87">
            <v>10</v>
          </cell>
          <cell r="L87" t="str">
            <v>Not Possible</v>
          </cell>
          <cell r="M87" t="str">
            <v>Not Possible</v>
          </cell>
        </row>
        <row r="88">
          <cell r="F88" t="str">
            <v>Wetland - Lowland raised bog</v>
          </cell>
          <cell r="G88" t="str">
            <v>32+</v>
          </cell>
          <cell r="H88" t="str">
            <v>32+</v>
          </cell>
          <cell r="I88">
            <v>30</v>
          </cell>
          <cell r="J88">
            <v>20</v>
          </cell>
          <cell r="K88">
            <v>15</v>
          </cell>
          <cell r="L88" t="str">
            <v>Not Possible</v>
          </cell>
          <cell r="M88" t="str">
            <v>Not Possible</v>
          </cell>
        </row>
        <row r="89">
          <cell r="F89" t="str">
            <v>Wetland – Oceanic Valley Mire[1] (D2.1)</v>
          </cell>
          <cell r="G89" t="str">
            <v>32+</v>
          </cell>
          <cell r="H89" t="str">
            <v>32+</v>
          </cell>
          <cell r="I89">
            <v>30</v>
          </cell>
          <cell r="J89">
            <v>20</v>
          </cell>
          <cell r="K89">
            <v>15</v>
          </cell>
          <cell r="L89" t="str">
            <v>Not Possible</v>
          </cell>
          <cell r="M89" t="str">
            <v>Not Possible</v>
          </cell>
        </row>
        <row r="90">
          <cell r="F90" t="str">
            <v>Wetland - Purple moor grass and rush pastures</v>
          </cell>
          <cell r="G90">
            <v>30</v>
          </cell>
          <cell r="H90">
            <v>25</v>
          </cell>
          <cell r="I90">
            <v>20</v>
          </cell>
          <cell r="J90">
            <v>15</v>
          </cell>
          <cell r="K90">
            <v>10</v>
          </cell>
          <cell r="L90" t="str">
            <v>Not Possible</v>
          </cell>
          <cell r="M90" t="str">
            <v>Not Possible</v>
          </cell>
        </row>
        <row r="91">
          <cell r="F91" t="str">
            <v>Wetland - Reedbeds</v>
          </cell>
          <cell r="G91">
            <v>15</v>
          </cell>
          <cell r="H91">
            <v>12</v>
          </cell>
          <cell r="I91">
            <v>10</v>
          </cell>
          <cell r="J91">
            <v>7</v>
          </cell>
          <cell r="K91">
            <v>5</v>
          </cell>
          <cell r="L91" t="str">
            <v>Not Possible</v>
          </cell>
          <cell r="M91" t="str">
            <v>Not Possible</v>
          </cell>
        </row>
        <row r="92">
          <cell r="F92" t="str">
            <v>Wetland - Transition mires and quaking bogs (H7140)</v>
          </cell>
          <cell r="G92" t="str">
            <v>32+</v>
          </cell>
          <cell r="H92" t="str">
            <v>32+</v>
          </cell>
          <cell r="I92">
            <v>30</v>
          </cell>
          <cell r="J92">
            <v>25</v>
          </cell>
          <cell r="K92">
            <v>15</v>
          </cell>
          <cell r="L92" t="str">
            <v>Not Possible</v>
          </cell>
          <cell r="M92" t="str">
            <v>Not Possible</v>
          </cell>
        </row>
        <row r="93">
          <cell r="F93" t="str">
            <v>Woodland and forest - Felled</v>
          </cell>
          <cell r="G93" t="str">
            <v>32+</v>
          </cell>
          <cell r="H93" t="str">
            <v>32+</v>
          </cell>
          <cell r="I93" t="str">
            <v>32+</v>
          </cell>
          <cell r="J93" t="str">
            <v>32+</v>
          </cell>
          <cell r="K93" t="str">
            <v>32+</v>
          </cell>
          <cell r="L93" t="str">
            <v>Not Possible</v>
          </cell>
          <cell r="M93" t="str">
            <v>Not Possible</v>
          </cell>
        </row>
        <row r="94">
          <cell r="F94" t="str">
            <v>Woodland and forest - Lowland beech and yew woodland</v>
          </cell>
          <cell r="G94" t="str">
            <v>32+</v>
          </cell>
          <cell r="H94" t="str">
            <v>32+</v>
          </cell>
          <cell r="I94" t="str">
            <v>32+</v>
          </cell>
          <cell r="J94" t="str">
            <v>32+</v>
          </cell>
          <cell r="K94" t="str">
            <v>32+</v>
          </cell>
          <cell r="L94" t="str">
            <v>Not Possible</v>
          </cell>
          <cell r="M94" t="str">
            <v>Not Possible</v>
          </cell>
        </row>
        <row r="95">
          <cell r="F95" t="str">
            <v>Woodland and forest - Lowland mixed deciduous woodland</v>
          </cell>
          <cell r="G95" t="str">
            <v>32+</v>
          </cell>
          <cell r="H95" t="str">
            <v>32+</v>
          </cell>
          <cell r="I95" t="str">
            <v>32+</v>
          </cell>
          <cell r="J95" t="str">
            <v>32+</v>
          </cell>
          <cell r="K95" t="str">
            <v>32+</v>
          </cell>
          <cell r="L95" t="str">
            <v>Not Possible</v>
          </cell>
          <cell r="M95" t="str">
            <v>Not Possible</v>
          </cell>
        </row>
        <row r="96">
          <cell r="F96" t="str">
            <v>Woodland and forest - Native pine woodlands</v>
          </cell>
          <cell r="G96" t="str">
            <v>32+</v>
          </cell>
          <cell r="H96" t="str">
            <v>32+</v>
          </cell>
          <cell r="I96" t="str">
            <v>32+</v>
          </cell>
          <cell r="J96">
            <v>30</v>
          </cell>
          <cell r="K96">
            <v>25</v>
          </cell>
          <cell r="L96" t="str">
            <v>Not Possible</v>
          </cell>
          <cell r="M96" t="str">
            <v>Not Possible</v>
          </cell>
        </row>
        <row r="97">
          <cell r="F97" t="str">
            <v>Woodland and forest - Other coniferous woodland</v>
          </cell>
          <cell r="G97" t="str">
            <v>32+</v>
          </cell>
          <cell r="H97" t="str">
            <v>32+</v>
          </cell>
          <cell r="I97">
            <v>25</v>
          </cell>
          <cell r="J97">
            <v>20</v>
          </cell>
          <cell r="K97">
            <v>15</v>
          </cell>
          <cell r="L97" t="str">
            <v>Not Possible</v>
          </cell>
          <cell r="M97" t="str">
            <v>Not Possible</v>
          </cell>
        </row>
        <row r="98">
          <cell r="F98" t="str">
            <v>Woodland and forest - Other Scot's Pine woodland</v>
          </cell>
          <cell r="G98" t="str">
            <v>32+</v>
          </cell>
          <cell r="H98" t="str">
            <v>32+</v>
          </cell>
          <cell r="I98" t="str">
            <v>32+</v>
          </cell>
          <cell r="J98">
            <v>25</v>
          </cell>
          <cell r="K98">
            <v>20</v>
          </cell>
          <cell r="L98" t="str">
            <v>Not Possible</v>
          </cell>
          <cell r="M98" t="str">
            <v>Not Possible</v>
          </cell>
        </row>
        <row r="99">
          <cell r="F99" t="str">
            <v>Woodland and forest - Other woodland; broadleaved</v>
          </cell>
          <cell r="G99" t="str">
            <v>32+</v>
          </cell>
          <cell r="H99" t="str">
            <v>32+</v>
          </cell>
          <cell r="I99">
            <v>30</v>
          </cell>
          <cell r="J99">
            <v>25</v>
          </cell>
          <cell r="K99">
            <v>20</v>
          </cell>
          <cell r="L99" t="str">
            <v>Not Possible</v>
          </cell>
          <cell r="M99" t="str">
            <v>Not Possible</v>
          </cell>
        </row>
        <row r="100">
          <cell r="F100" t="str">
            <v>Woodland and forest - Other woodland; mixed</v>
          </cell>
          <cell r="G100" t="str">
            <v>32+</v>
          </cell>
          <cell r="H100">
            <v>30</v>
          </cell>
          <cell r="I100">
            <v>25</v>
          </cell>
          <cell r="J100">
            <v>20</v>
          </cell>
          <cell r="K100">
            <v>15</v>
          </cell>
          <cell r="L100" t="str">
            <v>Not Possible</v>
          </cell>
          <cell r="M100" t="str">
            <v>Not Possible</v>
          </cell>
        </row>
        <row r="101">
          <cell r="F101" t="str">
            <v>Woodland and forest - Other woodland; Young Trees planted</v>
          </cell>
          <cell r="G101" t="str">
            <v>32+</v>
          </cell>
          <cell r="H101" t="str">
            <v>32+</v>
          </cell>
          <cell r="I101" t="str">
            <v>32+</v>
          </cell>
          <cell r="J101">
            <v>30</v>
          </cell>
          <cell r="K101">
            <v>25</v>
          </cell>
          <cell r="L101" t="str">
            <v>Not Possible</v>
          </cell>
          <cell r="M101" t="str">
            <v>Not Possible</v>
          </cell>
        </row>
        <row r="102">
          <cell r="F102" t="str">
            <v>Woodland and forest - Upland birchwoods</v>
          </cell>
          <cell r="G102" t="str">
            <v>32+</v>
          </cell>
          <cell r="H102">
            <v>30</v>
          </cell>
          <cell r="I102">
            <v>25</v>
          </cell>
          <cell r="J102">
            <v>20</v>
          </cell>
          <cell r="K102">
            <v>15</v>
          </cell>
          <cell r="L102" t="str">
            <v>Not Possible</v>
          </cell>
          <cell r="M102" t="str">
            <v>Not Possible</v>
          </cell>
        </row>
        <row r="103">
          <cell r="F103" t="str">
            <v>Woodland and forest - Upland mixed ashwoods</v>
          </cell>
          <cell r="G103" t="str">
            <v>32+</v>
          </cell>
          <cell r="H103" t="str">
            <v>32+</v>
          </cell>
          <cell r="I103" t="str">
            <v>32+</v>
          </cell>
          <cell r="J103">
            <v>30</v>
          </cell>
          <cell r="K103">
            <v>25</v>
          </cell>
          <cell r="L103" t="str">
            <v>Not Possible</v>
          </cell>
          <cell r="M103" t="str">
            <v>Not Possible</v>
          </cell>
        </row>
        <row r="104">
          <cell r="F104" t="str">
            <v>Woodland and forest - Upland oakwood</v>
          </cell>
          <cell r="G104" t="str">
            <v>32+</v>
          </cell>
          <cell r="H104" t="str">
            <v>32+</v>
          </cell>
          <cell r="I104" t="str">
            <v>32+</v>
          </cell>
          <cell r="J104" t="str">
            <v>32+</v>
          </cell>
          <cell r="K104" t="str">
            <v>32+</v>
          </cell>
          <cell r="L104" t="str">
            <v>Not Possible</v>
          </cell>
          <cell r="M104" t="str">
            <v>Not Possible</v>
          </cell>
        </row>
        <row r="105">
          <cell r="F105" t="str">
            <v>Woodland and forest - Wet woodland</v>
          </cell>
          <cell r="G105" t="str">
            <v>32+</v>
          </cell>
          <cell r="H105">
            <v>30</v>
          </cell>
          <cell r="I105">
            <v>25</v>
          </cell>
          <cell r="J105">
            <v>20</v>
          </cell>
          <cell r="K105">
            <v>15</v>
          </cell>
          <cell r="L105" t="str">
            <v>Not Possible</v>
          </cell>
          <cell r="M105" t="str">
            <v>Not Possible</v>
          </cell>
        </row>
        <row r="106">
          <cell r="F106" t="str">
            <v>Woodland and forest - Wood-pasture and parkland</v>
          </cell>
          <cell r="G106" t="str">
            <v>32+</v>
          </cell>
          <cell r="H106" t="str">
            <v>32+</v>
          </cell>
          <cell r="I106" t="str">
            <v>32+</v>
          </cell>
          <cell r="J106" t="str">
            <v>32+</v>
          </cell>
          <cell r="K106" t="str">
            <v>32+</v>
          </cell>
          <cell r="L106" t="str">
            <v>Not Possible</v>
          </cell>
          <cell r="M106" t="str">
            <v>Not Possible</v>
          </cell>
        </row>
        <row r="107">
          <cell r="F107" t="str">
            <v>Coastal lagoons - Coastal lagoons</v>
          </cell>
          <cell r="G107">
            <v>10</v>
          </cell>
          <cell r="H107">
            <v>8</v>
          </cell>
          <cell r="I107">
            <v>5</v>
          </cell>
          <cell r="J107">
            <v>3</v>
          </cell>
          <cell r="K107">
            <v>1</v>
          </cell>
          <cell r="L107" t="str">
            <v>Not Possible</v>
          </cell>
          <cell r="M107" t="str">
            <v>Not Possible</v>
          </cell>
        </row>
        <row r="108">
          <cell r="F108" t="str">
            <v>Rocky shore - High energy littoral rock</v>
          </cell>
          <cell r="G108">
            <v>15</v>
          </cell>
          <cell r="H108">
            <v>10</v>
          </cell>
          <cell r="I108">
            <v>5</v>
          </cell>
          <cell r="J108">
            <v>1</v>
          </cell>
          <cell r="K108">
            <v>1</v>
          </cell>
          <cell r="L108" t="str">
            <v>Not Possible</v>
          </cell>
          <cell r="M108" t="str">
            <v>Not Possible</v>
          </cell>
        </row>
        <row r="109">
          <cell r="F109" t="str">
            <v>Rocky shore - High energy littoral rock - on bedrock</v>
          </cell>
          <cell r="G109" t="str">
            <v>32+</v>
          </cell>
          <cell r="H109" t="str">
            <v>32+</v>
          </cell>
          <cell r="I109" t="str">
            <v>32+</v>
          </cell>
          <cell r="J109" t="str">
            <v>32+</v>
          </cell>
          <cell r="K109" t="str">
            <v>32+</v>
          </cell>
          <cell r="L109" t="str">
            <v>Not Possible</v>
          </cell>
          <cell r="M109" t="str">
            <v>Not Possible</v>
          </cell>
        </row>
        <row r="110">
          <cell r="F110" t="str">
            <v>Rocky shore - Moderate energy littoral rock</v>
          </cell>
          <cell r="G110">
            <v>15</v>
          </cell>
          <cell r="H110">
            <v>10</v>
          </cell>
          <cell r="I110">
            <v>5</v>
          </cell>
          <cell r="J110">
            <v>1</v>
          </cell>
          <cell r="K110">
            <v>1</v>
          </cell>
          <cell r="L110" t="str">
            <v>Not Possible</v>
          </cell>
          <cell r="M110" t="str">
            <v>Not Possible</v>
          </cell>
        </row>
        <row r="111">
          <cell r="F111" t="str">
            <v>Rocky shore - Moderate energy littoral rock - on bedrock</v>
          </cell>
          <cell r="G111" t="str">
            <v>32+</v>
          </cell>
          <cell r="H111" t="str">
            <v>32+</v>
          </cell>
          <cell r="I111" t="str">
            <v>32+</v>
          </cell>
          <cell r="J111" t="str">
            <v>32+</v>
          </cell>
          <cell r="K111" t="str">
            <v>32+</v>
          </cell>
          <cell r="L111" t="str">
            <v>Not Possible</v>
          </cell>
          <cell r="M111" t="str">
            <v>Not Possible</v>
          </cell>
        </row>
        <row r="112">
          <cell r="F112" t="str">
            <v>Rocky shore - Low energy littoral rock</v>
          </cell>
          <cell r="G112">
            <v>15</v>
          </cell>
          <cell r="H112">
            <v>10</v>
          </cell>
          <cell r="I112">
            <v>5</v>
          </cell>
          <cell r="J112">
            <v>1</v>
          </cell>
          <cell r="K112">
            <v>1</v>
          </cell>
          <cell r="L112" t="str">
            <v>Not Possible</v>
          </cell>
          <cell r="M112" t="str">
            <v>Not Possible</v>
          </cell>
        </row>
        <row r="113">
          <cell r="F113" t="str">
            <v>Rocky shore - Low energy littoral rock  - on bedrock</v>
          </cell>
          <cell r="G113" t="str">
            <v>32+</v>
          </cell>
          <cell r="H113" t="str">
            <v>32+</v>
          </cell>
          <cell r="I113" t="str">
            <v>32+</v>
          </cell>
          <cell r="J113" t="str">
            <v>32+</v>
          </cell>
          <cell r="K113" t="str">
            <v>32+</v>
          </cell>
          <cell r="L113" t="str">
            <v>Not Possible</v>
          </cell>
          <cell r="M113" t="str">
            <v>Not Possible</v>
          </cell>
        </row>
        <row r="114">
          <cell r="F114" t="str">
            <v>Rocky shore - Features of littoral rock</v>
          </cell>
          <cell r="G114">
            <v>15</v>
          </cell>
          <cell r="H114">
            <v>10</v>
          </cell>
          <cell r="I114">
            <v>5</v>
          </cell>
          <cell r="J114">
            <v>1</v>
          </cell>
          <cell r="K114">
            <v>1</v>
          </cell>
          <cell r="L114" t="str">
            <v>Not Possible</v>
          </cell>
          <cell r="M114" t="str">
            <v>Not Possible</v>
          </cell>
        </row>
        <row r="115">
          <cell r="F115" t="str">
            <v>Rocky shore - Features of littoral rock - on bedrock</v>
          </cell>
          <cell r="G115" t="str">
            <v>32+</v>
          </cell>
          <cell r="H115" t="str">
            <v>32+</v>
          </cell>
          <cell r="I115" t="str">
            <v>32+</v>
          </cell>
          <cell r="J115" t="str">
            <v>32+</v>
          </cell>
          <cell r="K115" t="str">
            <v>32+</v>
          </cell>
          <cell r="L115" t="str">
            <v>Not Possible</v>
          </cell>
          <cell r="M115" t="str">
            <v>Not Possible</v>
          </cell>
        </row>
        <row r="116">
          <cell r="F116" t="str">
            <v>Rocky shore - Artificial high energy littoral rock</v>
          </cell>
          <cell r="G116">
            <v>15</v>
          </cell>
          <cell r="H116">
            <v>10</v>
          </cell>
          <cell r="I116">
            <v>5</v>
          </cell>
          <cell r="J116">
            <v>1</v>
          </cell>
          <cell r="K116">
            <v>1</v>
          </cell>
          <cell r="L116" t="str">
            <v>Not Possible</v>
          </cell>
          <cell r="M116" t="str">
            <v>Not Possible</v>
          </cell>
        </row>
        <row r="117">
          <cell r="F117" t="str">
            <v>Rocky shore - Artificial moderate energy littoral rock</v>
          </cell>
          <cell r="G117">
            <v>15</v>
          </cell>
          <cell r="H117">
            <v>10</v>
          </cell>
          <cell r="I117">
            <v>5</v>
          </cell>
          <cell r="J117">
            <v>1</v>
          </cell>
          <cell r="K117">
            <v>1</v>
          </cell>
          <cell r="L117" t="str">
            <v>Not Possible</v>
          </cell>
          <cell r="M117" t="str">
            <v>Not Possible</v>
          </cell>
        </row>
        <row r="118">
          <cell r="F118" t="str">
            <v>Rocky shore - Artificial low energy littoral rock</v>
          </cell>
          <cell r="G118">
            <v>15</v>
          </cell>
          <cell r="H118">
            <v>10</v>
          </cell>
          <cell r="I118">
            <v>5</v>
          </cell>
          <cell r="J118">
            <v>1</v>
          </cell>
          <cell r="K118">
            <v>1</v>
          </cell>
          <cell r="L118" t="str">
            <v>Not Possible</v>
          </cell>
          <cell r="M118" t="str">
            <v>Not Possible</v>
          </cell>
        </row>
        <row r="119">
          <cell r="F119" t="str">
            <v>Rocky shore - Artificial features of littoral rock</v>
          </cell>
          <cell r="G119">
            <v>15</v>
          </cell>
          <cell r="H119">
            <v>10</v>
          </cell>
          <cell r="I119">
            <v>5</v>
          </cell>
          <cell r="J119">
            <v>1</v>
          </cell>
          <cell r="K119">
            <v>1</v>
          </cell>
          <cell r="L119" t="str">
            <v>Not Possible</v>
          </cell>
          <cell r="M119" t="str">
            <v>Not Possible</v>
          </cell>
        </row>
        <row r="120">
          <cell r="F120" t="str">
            <v>Intertidal sediment - Littoral coarse sediment</v>
          </cell>
          <cell r="G120">
            <v>3</v>
          </cell>
          <cell r="H120">
            <v>2</v>
          </cell>
          <cell r="I120">
            <v>1</v>
          </cell>
          <cell r="J120">
            <v>1</v>
          </cell>
          <cell r="K120">
            <v>1</v>
          </cell>
          <cell r="L120" t="str">
            <v>Not Possible</v>
          </cell>
          <cell r="M120" t="str">
            <v>Not Possible</v>
          </cell>
        </row>
        <row r="121">
          <cell r="F121" t="str">
            <v>Intertidal sediment - Littoral sand and muddy sand</v>
          </cell>
          <cell r="G121">
            <v>4</v>
          </cell>
          <cell r="H121">
            <v>3</v>
          </cell>
          <cell r="I121">
            <v>2</v>
          </cell>
          <cell r="J121">
            <v>2</v>
          </cell>
          <cell r="K121">
            <v>1</v>
          </cell>
          <cell r="L121" t="str">
            <v>Not Possible</v>
          </cell>
          <cell r="M121" t="str">
            <v>Not Possible</v>
          </cell>
        </row>
        <row r="122">
          <cell r="F122" t="str">
            <v>Intertidal sediment - Littoral mud</v>
          </cell>
          <cell r="G122">
            <v>6</v>
          </cell>
          <cell r="H122">
            <v>4</v>
          </cell>
          <cell r="I122">
            <v>3</v>
          </cell>
          <cell r="J122">
            <v>2</v>
          </cell>
          <cell r="K122">
            <v>1</v>
          </cell>
          <cell r="L122" t="str">
            <v>Not Possible</v>
          </cell>
          <cell r="M122" t="str">
            <v>Not Possible</v>
          </cell>
        </row>
        <row r="123">
          <cell r="F123" t="str">
            <v>Intertidal sediment - Littoral mixed sediments</v>
          </cell>
          <cell r="G123">
            <v>5</v>
          </cell>
          <cell r="H123">
            <v>4</v>
          </cell>
          <cell r="I123">
            <v>3</v>
          </cell>
          <cell r="J123">
            <v>2</v>
          </cell>
          <cell r="K123">
            <v>1</v>
          </cell>
          <cell r="L123" t="str">
            <v>Not Possible</v>
          </cell>
          <cell r="M123" t="str">
            <v>Not Possible</v>
          </cell>
        </row>
        <row r="124">
          <cell r="F124" t="str">
            <v>Coastal Saltmarsh -saltmarshes and saline reedbeds</v>
          </cell>
          <cell r="G124">
            <v>20</v>
          </cell>
          <cell r="H124">
            <v>15</v>
          </cell>
          <cell r="I124">
            <v>10</v>
          </cell>
          <cell r="J124">
            <v>5</v>
          </cell>
          <cell r="K124">
            <v>1</v>
          </cell>
          <cell r="L124" t="str">
            <v>Not Possible</v>
          </cell>
          <cell r="M124" t="str">
            <v>Not Possible</v>
          </cell>
        </row>
        <row r="125">
          <cell r="F125" t="str">
            <v>Intertidal sediment - Littoral sediments dominated by aquatic angiosperms</v>
          </cell>
          <cell r="G125">
            <v>20</v>
          </cell>
          <cell r="H125">
            <v>15</v>
          </cell>
          <cell r="I125">
            <v>10</v>
          </cell>
          <cell r="J125">
            <v>5</v>
          </cell>
          <cell r="K125">
            <v>2</v>
          </cell>
          <cell r="L125" t="str">
            <v>Not Possible</v>
          </cell>
          <cell r="M125" t="str">
            <v>Not Possible</v>
          </cell>
        </row>
        <row r="126">
          <cell r="F126" t="str">
            <v xml:space="preserve">Intertidal sediment - Littoral sediments dominated by aquatic angiosperms  - on bedrock </v>
          </cell>
          <cell r="G126" t="str">
            <v>32+</v>
          </cell>
          <cell r="H126" t="str">
            <v>32+</v>
          </cell>
          <cell r="I126" t="str">
            <v>32+</v>
          </cell>
          <cell r="J126" t="str">
            <v>32+</v>
          </cell>
          <cell r="K126" t="str">
            <v>32+</v>
          </cell>
          <cell r="L126" t="str">
            <v>Not Possible</v>
          </cell>
          <cell r="M126" t="str">
            <v>Not Possible</v>
          </cell>
        </row>
        <row r="127">
          <cell r="F127" t="str">
            <v>Intertidal sediment - Littoral biogenic reefs</v>
          </cell>
          <cell r="G127">
            <v>15</v>
          </cell>
          <cell r="H127">
            <v>10</v>
          </cell>
          <cell r="I127">
            <v>5</v>
          </cell>
          <cell r="J127">
            <v>3</v>
          </cell>
          <cell r="K127">
            <v>3</v>
          </cell>
          <cell r="L127" t="str">
            <v>Not Possible</v>
          </cell>
          <cell r="M127" t="str">
            <v>Not Possible</v>
          </cell>
        </row>
        <row r="128">
          <cell r="F128" t="str">
            <v>Intertidal sediment - Littoral biogenic reefs - on bedrock</v>
          </cell>
          <cell r="G128" t="str">
            <v>32+</v>
          </cell>
          <cell r="H128" t="str">
            <v>32+</v>
          </cell>
          <cell r="I128" t="str">
            <v>32+</v>
          </cell>
          <cell r="J128" t="str">
            <v>32+</v>
          </cell>
          <cell r="K128" t="str">
            <v>32+</v>
          </cell>
          <cell r="L128" t="str">
            <v>Not Possible</v>
          </cell>
          <cell r="M128" t="str">
            <v>Not Possible</v>
          </cell>
        </row>
        <row r="129">
          <cell r="F129" t="str">
            <v>Intertidal sediment - Features of littoral sediment</v>
          </cell>
          <cell r="G129">
            <v>10</v>
          </cell>
          <cell r="H129">
            <v>7</v>
          </cell>
          <cell r="I129">
            <v>5</v>
          </cell>
          <cell r="J129">
            <v>3</v>
          </cell>
          <cell r="K129">
            <v>3</v>
          </cell>
          <cell r="L129" t="str">
            <v>Not Possible</v>
          </cell>
          <cell r="M129" t="str">
            <v>Not Possible</v>
          </cell>
        </row>
        <row r="130">
          <cell r="F130" t="str">
            <v>Intertidal sediment - Artificial littoral coarse sediment</v>
          </cell>
          <cell r="G130">
            <v>3</v>
          </cell>
          <cell r="H130">
            <v>2</v>
          </cell>
          <cell r="I130">
            <v>1</v>
          </cell>
          <cell r="J130">
            <v>1</v>
          </cell>
          <cell r="K130">
            <v>1</v>
          </cell>
          <cell r="L130" t="str">
            <v>Not Possible</v>
          </cell>
          <cell r="M130" t="str">
            <v>Not Possible</v>
          </cell>
        </row>
        <row r="131">
          <cell r="F131" t="str">
            <v>Intertidal sediment - Artificial littoral sand and muddy sand</v>
          </cell>
          <cell r="G131">
            <v>4</v>
          </cell>
          <cell r="H131">
            <v>3</v>
          </cell>
          <cell r="I131">
            <v>2</v>
          </cell>
          <cell r="J131">
            <v>2</v>
          </cell>
          <cell r="K131">
            <v>1</v>
          </cell>
          <cell r="L131" t="str">
            <v>Not Possible</v>
          </cell>
          <cell r="M131" t="str">
            <v>Not Possible</v>
          </cell>
        </row>
        <row r="132">
          <cell r="F132" t="str">
            <v>Intertidal sediment - Artificial littoral mud</v>
          </cell>
          <cell r="G132">
            <v>6</v>
          </cell>
          <cell r="H132">
            <v>4</v>
          </cell>
          <cell r="I132">
            <v>3</v>
          </cell>
          <cell r="J132">
            <v>2</v>
          </cell>
          <cell r="K132">
            <v>1</v>
          </cell>
          <cell r="L132" t="str">
            <v>Not Possible</v>
          </cell>
          <cell r="M132" t="str">
            <v>Not Possible</v>
          </cell>
        </row>
        <row r="133">
          <cell r="F133" t="str">
            <v>Intertidal sediment - Artificial littoral mixed sediments</v>
          </cell>
          <cell r="G133">
            <v>5</v>
          </cell>
          <cell r="H133">
            <v>4</v>
          </cell>
          <cell r="I133">
            <v>3</v>
          </cell>
          <cell r="J133">
            <v>2</v>
          </cell>
          <cell r="K133">
            <v>1</v>
          </cell>
          <cell r="L133" t="str">
            <v>Not Possible</v>
          </cell>
          <cell r="M133" t="str">
            <v>Not Possible</v>
          </cell>
        </row>
        <row r="134">
          <cell r="F134" t="str">
            <v>Intertidal sediment - Artificial littoral sediments dominated by aquatic angiosperms</v>
          </cell>
          <cell r="G134">
            <v>20</v>
          </cell>
          <cell r="H134">
            <v>15</v>
          </cell>
          <cell r="I134">
            <v>10</v>
          </cell>
          <cell r="J134">
            <v>5</v>
          </cell>
          <cell r="K134">
            <v>2</v>
          </cell>
          <cell r="L134" t="str">
            <v>Not Possible</v>
          </cell>
          <cell r="M134" t="str">
            <v>Not Possible</v>
          </cell>
        </row>
        <row r="135">
          <cell r="F135" t="str">
            <v>Intertidal sediment - Artificial littoral biogenic reefs</v>
          </cell>
          <cell r="G135">
            <v>15</v>
          </cell>
          <cell r="H135">
            <v>10</v>
          </cell>
          <cell r="I135">
            <v>5</v>
          </cell>
          <cell r="J135">
            <v>3</v>
          </cell>
          <cell r="K135">
            <v>3</v>
          </cell>
          <cell r="L135" t="str">
            <v>Not Possible</v>
          </cell>
          <cell r="M135" t="str">
            <v>Not Possible</v>
          </cell>
        </row>
        <row r="136">
          <cell r="F136" t="str">
            <v>Intertidal sediment - Artificial features of littoral sediment</v>
          </cell>
          <cell r="G136">
            <v>10</v>
          </cell>
          <cell r="H136">
            <v>7</v>
          </cell>
          <cell r="I136">
            <v>5</v>
          </cell>
          <cell r="J136">
            <v>3</v>
          </cell>
          <cell r="K136">
            <v>3</v>
          </cell>
          <cell r="L136" t="str">
            <v>Not Possible</v>
          </cell>
          <cell r="M136" t="str">
            <v>Not Possible</v>
          </cell>
        </row>
        <row r="137">
          <cell r="F137">
            <v>0</v>
          </cell>
        </row>
        <row r="138">
          <cell r="F138">
            <v>0</v>
          </cell>
        </row>
      </sheetData>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35D5FC-C011-4B60-A352-935A1393017A}" name="Table1" displayName="Table1" ref="A1:A11" totalsRowShown="0" headerRowDxfId="273" headerRowBorderDxfId="272" tableBorderDxfId="271" totalsRowBorderDxfId="270">
  <autoFilter ref="A1:A11" xr:uid="{D3D48E5C-DC0B-41A4-A0A0-527C1359656D}"/>
  <tableColumns count="1">
    <tableColumn id="1" xr3:uid="{520E3FA0-67BF-4785-A0AD-C78B48FCFF4F}" name="Broadhabitattype" dataDxfId="269"/>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19284BE-7089-4580-A599-F8E788E3582D}" name="Table10" displayName="Table10" ref="S1:S5" totalsRowShown="0" headerRowDxfId="229" headerRowBorderDxfId="228" tableBorderDxfId="227" totalsRowBorderDxfId="226">
  <autoFilter ref="S1:S5" xr:uid="{30F074BA-9A05-4036-B433-08ADAAF4B4D6}"/>
  <tableColumns count="1">
    <tableColumn id="1" xr3:uid="{E418E0FC-1774-4279-88F2-AFFD97CEAA34}" name="Woodlandandforest" dataDxfId="225"/>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FF9302B-9721-4616-ADA8-13191354FA9A}" name="Table11" displayName="Table11" ref="U1:U10" totalsRowShown="0" headerRowDxfId="224" headerRowBorderDxfId="223" tableBorderDxfId="222" totalsRowBorderDxfId="221">
  <autoFilter ref="U1:U10" xr:uid="{C184E532-E77C-4872-89E0-8E85C5B1D65C}"/>
  <tableColumns count="1">
    <tableColumn id="1" xr3:uid="{13BB9483-7385-4659-8AAD-FDCAD7546C50}" name="HedgerowsandLinesoftrees" dataDxfId="220"/>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6C067BD-46D8-4B20-A823-A2D5CF8C96E2}" name="Table12" displayName="Table12" ref="W1:W5" totalsRowShown="0" headerRowDxfId="219" headerRowBorderDxfId="218" tableBorderDxfId="217" totalsRowBorderDxfId="216">
  <autoFilter ref="W1:W5" xr:uid="{9B1AD1A4-0D15-4CE8-AEA8-06A4E9EF94B6}"/>
  <tableColumns count="1">
    <tableColumn id="1" xr3:uid="{DBBD35C5-EECC-4041-95E4-573CBFBFA8F1}" name="Lineoftrees" dataDxfId="215"/>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60DB976-D6A9-4562-B863-7AC5E0F9F6C4}" name="Table13" displayName="Table13" ref="Y1:Y11" totalsRowShown="0" headerRowDxfId="214" headerRowBorderDxfId="213" tableBorderDxfId="212" totalsRowBorderDxfId="211">
  <autoFilter ref="Y1:Y11" xr:uid="{54F032EE-B464-4AEB-BB7D-CACE48062226}"/>
  <tableColumns count="1">
    <tableColumn id="1" xr3:uid="{E7EC9414-85BB-4D8B-84A7-C259CAFC4970}" name="Watercourses" dataDxfId="21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37B08A-9F8E-4429-B27A-BC6971F715BA}" name="Table15" displayName="Table15" ref="AA1:AA2" totalsRowShown="0" headerRowDxfId="209" headerRowBorderDxfId="208" tableBorderDxfId="207" totalsRowBorderDxfId="206">
  <autoFilter ref="AA1:AA2" xr:uid="{C64B59BF-D198-400E-9C6C-CB6989FBD588}"/>
  <tableColumns count="1">
    <tableColumn id="1" xr3:uid="{17A67DAE-E9E9-4299-B10B-B8A5BA9F3223}" name="Coastalsaltmarsh" dataDxfId="205"/>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1EEA68B-5F0F-4FD5-BC78-52500D979E9E}" name="Table1515" displayName="Table1515" ref="AC1:AC3" totalsRowShown="0" headerRowDxfId="204" headerRowBorderDxfId="203" tableBorderDxfId="202" totalsRowBorderDxfId="201">
  <autoFilter ref="AC1:AC3" xr:uid="{A1EEA68B-5F0F-4FD5-BC78-52500D979E9E}"/>
  <tableColumns count="1">
    <tableColumn id="1" xr3:uid="{C5904444-F3B6-4000-BCFD-109B9DBB2003}" name="Individualtrees" dataDxfId="20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FFC59A-48EE-47F6-B2FD-AA7FE5AD09F2}" name="Table2" displayName="Table2" ref="C1:C11" totalsRowShown="0" headerRowDxfId="268" headerRowBorderDxfId="267" tableBorderDxfId="266" totalsRowBorderDxfId="265">
  <autoFilter ref="C1:C11" xr:uid="{EBAB9D5E-B0CF-4D1D-ADB7-E5493557887B}"/>
  <tableColumns count="1">
    <tableColumn id="1" xr3:uid="{7B1F58A2-C65F-4A69-B2AC-B9D36F77D859}" name="Cropland" dataDxfId="26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CA4230-181C-42C2-81DC-7118EEC9E7D6}" name="Table3" displayName="Table3" ref="E1:E6" totalsRowShown="0" headerRowDxfId="263" headerRowBorderDxfId="262" tableBorderDxfId="261" totalsRowBorderDxfId="260">
  <autoFilter ref="E1:E6" xr:uid="{9B064C4C-4D73-4D0F-9BDF-647780F59E66}"/>
  <tableColumns count="1">
    <tableColumn id="1" xr3:uid="{435B0EB9-C4DC-435C-8E01-4D49B6A757E3}" name="Grassland" dataDxfId="25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6956F7-2286-4410-B6A4-5F7C664CB58D}" name="Table4" displayName="Table4" ref="G1:G10" totalsRowShown="0" headerRowDxfId="258" headerRowBorderDxfId="257" tableBorderDxfId="256" totalsRowBorderDxfId="255">
  <autoFilter ref="G1:G10" xr:uid="{A85BEA36-76EB-4A0E-A53F-61D293877434}"/>
  <tableColumns count="1">
    <tableColumn id="1" xr3:uid="{4DB9D90D-064B-4D7C-BA34-C168290E28EA}" name="Heathlandandshrub" dataDxfId="25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3E2DF2-3104-41A7-A173-6CE05FC94E21}" name="Table5" displayName="Table5" ref="I1:I4" totalsRowShown="0" headerRowDxfId="253" headerRowBorderDxfId="252" tableBorderDxfId="251" totalsRowBorderDxfId="250">
  <autoFilter ref="I1:I4" xr:uid="{C6C9FE5A-CC8A-40B8-8EA0-DB758CFDE554}"/>
  <tableColumns count="1">
    <tableColumn id="1" xr3:uid="{C0FE31C6-CA6F-4DE0-AFB8-FFF60A016160}" name="Intertidalhardstructures" dataDxfId="24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0694F6D-D6F2-43B2-8079-DD869124D9F2}" name="Table6" displayName="Table6" ref="K1:K10" totalsRowShown="0" headerRowDxfId="248" headerRowBorderDxfId="247" tableBorderDxfId="246" totalsRowBorderDxfId="245">
  <autoFilter ref="K1:K10" xr:uid="{7797F585-D0F9-47FE-BA9D-388927B61768}"/>
  <tableColumns count="1">
    <tableColumn id="1" xr3:uid="{75E4C119-EC80-44EC-8E72-378235CE41D5}" name="Intertidalsediment" dataDxfId="24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084920-227B-4CD8-9155-9D7358082D42}" name="Table7" displayName="Table7" ref="M1:M4" totalsRowShown="0" headerRowDxfId="243" headerRowBorderDxfId="242" tableBorderDxfId="241" totalsRowBorderDxfId="240">
  <autoFilter ref="M1:M4" xr:uid="{ACDCCD93-F593-4714-B731-26DAF0559CC2}"/>
  <tableColumns count="1">
    <tableColumn id="1" xr3:uid="{EC598AF1-76EB-4F02-9796-356409435C67}" name="Lakes" dataDxfId="23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379091-7BB9-43C9-B2E9-033C59662BFA}" name="Table8" displayName="Table8" ref="O1:O4" totalsRowShown="0" headerRowDxfId="238" headerRowBorderDxfId="237" tableBorderDxfId="236" totalsRowBorderDxfId="235">
  <autoFilter ref="O1:O4" xr:uid="{06565177-E6FD-4060-84C1-DCDB30853380}"/>
  <tableColumns count="1">
    <tableColumn id="1" xr3:uid="{3C6E3C71-F522-45BE-9240-4481396A4DC1}" name="Sparselyvegetatedland"/>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379318B-B8DD-4D9A-ABC9-CA0D5FEC3ECA}" name="Table9" displayName="Table9" ref="Q1:Q21" totalsRowShown="0" headerRowDxfId="234" headerRowBorderDxfId="233" tableBorderDxfId="232" totalsRowBorderDxfId="231">
  <autoFilter ref="Q1:Q21" xr:uid="{01B2E67C-1501-41B2-8D62-A3A34C54A10D}"/>
  <tableColumns count="1">
    <tableColumn id="1" xr3:uid="{8CCDD882-E68F-4342-BB3A-C070B69D5CD8}" name="Urban" dataDxfId="230"/>
  </tableColumns>
  <tableStyleInfo name="TableStyleLight9"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2E2A-BF3A-4C36-9C2F-D7B562664B79}">
  <sheetPr codeName="Sheet5">
    <tabColor theme="0" tint="-0.249977111117893"/>
    <pageSetUpPr fitToPage="1"/>
  </sheetPr>
  <dimension ref="A1:AD130"/>
  <sheetViews>
    <sheetView showRowColHeaders="0" zoomScale="80" zoomScaleNormal="80" workbookViewId="0"/>
  </sheetViews>
  <sheetFormatPr defaultColWidth="0" defaultRowHeight="15" zeroHeight="1" x14ac:dyDescent="0.25"/>
  <cols>
    <col min="1" max="1" width="3.5703125" customWidth="1"/>
    <col min="2" max="6" width="8.85546875" customWidth="1"/>
    <col min="7" max="7" width="11.7109375" customWidth="1"/>
    <col min="8" max="8" width="8.85546875" customWidth="1"/>
    <col min="9" max="9" width="12.85546875" customWidth="1"/>
    <col min="10" max="10" width="14.7109375" customWidth="1"/>
    <col min="11" max="18" width="8.85546875" customWidth="1"/>
    <col min="19" max="19" width="3.7109375" customWidth="1"/>
    <col min="20" max="30" width="8.85546875" hidden="1" customWidth="1"/>
    <col min="31" max="16384" width="8.85546875" hidden="1"/>
  </cols>
  <sheetData>
    <row r="1" spans="1:30" x14ac:dyDescent="0.25">
      <c r="A1" s="26"/>
      <c r="B1" s="26"/>
      <c r="C1" s="26"/>
      <c r="D1" s="524"/>
      <c r="E1" s="524"/>
      <c r="F1" s="524"/>
      <c r="G1" s="524"/>
      <c r="H1" s="524"/>
      <c r="I1" s="524"/>
      <c r="J1" s="524"/>
      <c r="K1" s="26"/>
      <c r="L1" s="26"/>
      <c r="M1" s="26"/>
      <c r="N1" s="26"/>
      <c r="O1" s="26"/>
      <c r="P1" s="26"/>
      <c r="Q1" s="26"/>
      <c r="R1" s="26"/>
      <c r="S1" s="26"/>
      <c r="T1" s="26"/>
      <c r="U1" s="26"/>
      <c r="V1" s="26"/>
      <c r="W1" s="26"/>
      <c r="X1" s="26"/>
      <c r="Y1" s="26"/>
      <c r="Z1" s="26"/>
      <c r="AA1" s="26"/>
      <c r="AB1" s="26"/>
      <c r="AC1" s="26"/>
      <c r="AD1" s="26"/>
    </row>
    <row r="2" spans="1:30" x14ac:dyDescent="0.25">
      <c r="A2" s="26"/>
      <c r="B2" s="26"/>
      <c r="C2" s="26"/>
      <c r="D2" s="524"/>
      <c r="E2" s="524"/>
      <c r="F2" s="524"/>
      <c r="G2" s="524"/>
      <c r="H2" s="524"/>
      <c r="I2" s="524"/>
      <c r="J2" s="524"/>
      <c r="K2" s="26"/>
      <c r="L2" s="26"/>
      <c r="M2" s="26"/>
      <c r="N2" s="26"/>
      <c r="O2" s="26"/>
      <c r="P2" s="26"/>
      <c r="Q2" s="26"/>
      <c r="R2" s="26"/>
      <c r="S2" s="26"/>
      <c r="T2" s="26"/>
      <c r="U2" s="26"/>
      <c r="V2" s="26"/>
      <c r="W2" s="26"/>
      <c r="X2" s="26"/>
      <c r="Y2" s="26"/>
      <c r="Z2" s="26"/>
      <c r="AA2" s="26"/>
      <c r="AB2" s="26"/>
      <c r="AC2" s="26"/>
      <c r="AD2" s="26"/>
    </row>
    <row r="3" spans="1:30" x14ac:dyDescent="0.25">
      <c r="A3" s="26"/>
      <c r="B3" s="26"/>
      <c r="C3" s="26"/>
      <c r="D3" s="524"/>
      <c r="E3" s="524"/>
      <c r="F3" s="524"/>
      <c r="G3" s="524"/>
      <c r="H3" s="524"/>
      <c r="I3" s="524"/>
      <c r="J3" s="524"/>
      <c r="K3" s="26"/>
      <c r="L3" s="26"/>
      <c r="M3" s="26"/>
      <c r="N3" s="26"/>
      <c r="O3" s="26"/>
      <c r="P3" s="26"/>
      <c r="Q3" s="26"/>
      <c r="R3" s="26"/>
      <c r="S3" s="26"/>
      <c r="T3" s="26"/>
      <c r="U3" s="26"/>
      <c r="V3" s="26"/>
      <c r="W3" s="26"/>
      <c r="X3" s="26"/>
      <c r="Y3" s="26"/>
      <c r="Z3" s="26"/>
      <c r="AA3" s="26"/>
      <c r="AB3" s="26"/>
      <c r="AC3" s="26"/>
      <c r="AD3" s="26"/>
    </row>
    <row r="4" spans="1:30" x14ac:dyDescent="0.25">
      <c r="A4" s="26"/>
      <c r="B4" s="26"/>
      <c r="C4" s="26"/>
      <c r="D4" s="524"/>
      <c r="E4" s="524"/>
      <c r="F4" s="524"/>
      <c r="G4" s="524"/>
      <c r="H4" s="524"/>
      <c r="I4" s="524"/>
      <c r="J4" s="524"/>
      <c r="K4" s="26"/>
      <c r="L4" s="26"/>
      <c r="M4" s="26"/>
      <c r="N4" s="26"/>
      <c r="O4" s="26"/>
      <c r="P4" s="26"/>
      <c r="Q4" s="26"/>
      <c r="R4" s="26"/>
      <c r="S4" s="26"/>
      <c r="T4" s="26"/>
      <c r="U4" s="26"/>
      <c r="V4" s="26"/>
      <c r="W4" s="26"/>
      <c r="X4" s="26"/>
      <c r="Y4" s="26"/>
      <c r="Z4" s="26"/>
      <c r="AA4" s="26"/>
      <c r="AB4" s="26"/>
      <c r="AC4" s="26"/>
      <c r="AD4" s="26"/>
    </row>
    <row r="5" spans="1:30" x14ac:dyDescent="0.25">
      <c r="A5" s="26"/>
      <c r="B5" s="26"/>
      <c r="C5" s="26"/>
      <c r="D5" s="524"/>
      <c r="E5" s="524"/>
      <c r="F5" s="524"/>
      <c r="G5" s="524"/>
      <c r="H5" s="524"/>
      <c r="I5" s="524"/>
      <c r="J5" s="524"/>
      <c r="K5" s="26"/>
      <c r="L5" s="26"/>
      <c r="M5" s="26"/>
      <c r="N5" s="26"/>
      <c r="O5" s="26"/>
      <c r="P5" s="26"/>
      <c r="Q5" s="26"/>
      <c r="R5" s="26"/>
      <c r="S5" s="26"/>
      <c r="T5" s="26"/>
      <c r="U5" s="26"/>
      <c r="V5" s="26"/>
      <c r="W5" s="26"/>
      <c r="X5" s="26"/>
      <c r="Y5" s="26"/>
      <c r="Z5" s="26"/>
      <c r="AA5" s="26"/>
      <c r="AB5" s="26"/>
      <c r="AC5" s="26"/>
      <c r="AD5" s="26"/>
    </row>
    <row r="6" spans="1:30" x14ac:dyDescent="0.25">
      <c r="A6" s="166" t="s">
        <v>0</v>
      </c>
      <c r="B6" s="526" t="s">
        <v>1016</v>
      </c>
      <c r="C6" s="527"/>
      <c r="D6" s="527"/>
      <c r="E6" s="527"/>
      <c r="F6" s="527"/>
      <c r="G6" s="527"/>
      <c r="H6" s="527"/>
      <c r="I6" s="527"/>
      <c r="J6" s="527"/>
      <c r="K6" s="26"/>
      <c r="L6" s="26"/>
      <c r="M6" s="26"/>
      <c r="N6" s="26"/>
      <c r="O6" s="26"/>
      <c r="P6" s="26"/>
      <c r="Q6" s="26"/>
      <c r="R6" s="26"/>
      <c r="S6" s="26"/>
      <c r="T6" s="26"/>
      <c r="U6" s="26"/>
      <c r="V6" s="26"/>
      <c r="W6" s="26"/>
      <c r="X6" s="26"/>
      <c r="Y6" s="26"/>
      <c r="Z6" s="26"/>
      <c r="AA6" s="26"/>
      <c r="AB6" s="26"/>
      <c r="AC6" s="26"/>
      <c r="AD6" s="26"/>
    </row>
    <row r="7" spans="1:30" x14ac:dyDescent="0.25">
      <c r="A7" s="26"/>
      <c r="B7" s="527"/>
      <c r="C7" s="527"/>
      <c r="D7" s="527"/>
      <c r="E7" s="527"/>
      <c r="F7" s="527"/>
      <c r="G7" s="527"/>
      <c r="H7" s="527"/>
      <c r="I7" s="527"/>
      <c r="J7" s="527"/>
      <c r="K7" s="26"/>
      <c r="L7" s="26"/>
      <c r="M7" s="26"/>
      <c r="N7" s="26"/>
      <c r="O7" s="26"/>
      <c r="P7" s="26"/>
      <c r="Q7" s="26"/>
      <c r="R7" s="26"/>
      <c r="S7" s="26"/>
      <c r="T7" s="26"/>
      <c r="U7" s="26"/>
      <c r="V7" s="26"/>
      <c r="W7" s="26"/>
      <c r="X7" s="26"/>
      <c r="Y7" s="26"/>
      <c r="Z7" s="26"/>
      <c r="AA7" s="26"/>
      <c r="AB7" s="26"/>
      <c r="AC7" s="26"/>
      <c r="AD7" s="26"/>
    </row>
    <row r="8" spans="1:30" ht="28.5" customHeight="1" x14ac:dyDescent="0.25">
      <c r="A8" s="26"/>
      <c r="B8" s="527"/>
      <c r="C8" s="527"/>
      <c r="D8" s="527"/>
      <c r="E8" s="527"/>
      <c r="F8" s="527"/>
      <c r="G8" s="527"/>
      <c r="H8" s="527"/>
      <c r="I8" s="527"/>
      <c r="J8" s="527"/>
      <c r="K8" s="26"/>
      <c r="L8" s="26"/>
      <c r="M8" s="26"/>
      <c r="N8" s="26"/>
      <c r="O8" s="26"/>
      <c r="P8" s="26"/>
      <c r="Q8" s="26"/>
      <c r="R8" s="26"/>
      <c r="S8" s="26"/>
      <c r="T8" s="26"/>
      <c r="U8" s="26"/>
      <c r="V8" s="26"/>
      <c r="W8" s="26"/>
      <c r="X8" s="26"/>
      <c r="Y8" s="26"/>
      <c r="Z8" s="26"/>
      <c r="AA8" s="26"/>
      <c r="AB8" s="26"/>
      <c r="AC8" s="26"/>
      <c r="AD8" s="26"/>
    </row>
    <row r="9" spans="1:30" ht="14.45" customHeight="1" x14ac:dyDescent="0.25">
      <c r="A9" s="26"/>
      <c r="B9" s="528"/>
      <c r="C9" s="528"/>
      <c r="D9" s="528"/>
      <c r="E9" s="528"/>
      <c r="F9" s="528"/>
      <c r="G9" s="528"/>
      <c r="H9" s="528"/>
      <c r="I9" s="528"/>
      <c r="J9" s="528"/>
      <c r="K9" s="26"/>
      <c r="L9" s="26"/>
      <c r="M9" s="26"/>
      <c r="N9" s="26"/>
      <c r="O9" s="26"/>
      <c r="P9" s="26"/>
      <c r="Q9" s="26"/>
      <c r="R9" s="26"/>
      <c r="S9" s="26"/>
      <c r="T9" s="26"/>
      <c r="U9" s="26"/>
      <c r="V9" s="26"/>
      <c r="W9" s="26"/>
      <c r="X9" s="26"/>
      <c r="Y9" s="26"/>
      <c r="Z9" s="26"/>
      <c r="AA9" s="26"/>
      <c r="AB9" s="26"/>
      <c r="AC9" s="26"/>
      <c r="AD9" s="26"/>
    </row>
    <row r="10" spans="1:30" ht="20.45" customHeight="1" x14ac:dyDescent="0.25">
      <c r="A10" s="26"/>
      <c r="B10" s="528"/>
      <c r="C10" s="528"/>
      <c r="D10" s="528"/>
      <c r="E10" s="528"/>
      <c r="F10" s="528"/>
      <c r="G10" s="528"/>
      <c r="H10" s="528"/>
      <c r="I10" s="528"/>
      <c r="J10" s="528"/>
      <c r="K10" s="26"/>
      <c r="L10" s="26"/>
      <c r="M10" s="26"/>
      <c r="N10" s="26"/>
      <c r="O10" s="26"/>
      <c r="P10" s="26"/>
      <c r="Q10" s="26"/>
      <c r="R10" s="26"/>
      <c r="S10" s="26"/>
      <c r="T10" s="26"/>
      <c r="U10" s="26"/>
      <c r="V10" s="26"/>
      <c r="W10" s="26"/>
      <c r="X10" s="26"/>
      <c r="Y10" s="26"/>
      <c r="Z10" s="26"/>
      <c r="AA10" s="26"/>
      <c r="AB10" s="26"/>
      <c r="AC10" s="26"/>
      <c r="AD10" s="26"/>
    </row>
    <row r="11" spans="1:30" x14ac:dyDescent="0.25">
      <c r="A11" s="26"/>
      <c r="B11" s="529" t="s">
        <v>1</v>
      </c>
      <c r="C11" s="529"/>
      <c r="D11" s="529"/>
      <c r="E11" s="529"/>
      <c r="F11" s="521" t="s">
        <v>995</v>
      </c>
      <c r="G11" s="521"/>
      <c r="H11" s="521"/>
      <c r="I11" s="521"/>
      <c r="J11" s="521"/>
      <c r="K11" s="26"/>
      <c r="L11" s="26"/>
      <c r="M11" s="26"/>
      <c r="N11" s="26"/>
      <c r="O11" s="26"/>
      <c r="P11" s="26"/>
      <c r="Q11" s="26"/>
      <c r="R11" s="26"/>
      <c r="S11" s="26"/>
      <c r="T11" s="26"/>
      <c r="U11" s="26"/>
      <c r="V11" s="26"/>
      <c r="W11" s="26"/>
      <c r="X11" s="26"/>
      <c r="Y11" s="26"/>
      <c r="Z11" s="26"/>
      <c r="AA11" s="26"/>
      <c r="AB11" s="26"/>
      <c r="AC11" s="26"/>
      <c r="AD11" s="26"/>
    </row>
    <row r="12" spans="1:30" x14ac:dyDescent="0.25">
      <c r="A12" s="26"/>
      <c r="B12" s="522" t="s">
        <v>996</v>
      </c>
      <c r="C12" s="522"/>
      <c r="D12" s="522"/>
      <c r="E12" s="522"/>
      <c r="F12" s="522"/>
      <c r="G12" s="522"/>
      <c r="H12" s="522"/>
      <c r="I12" s="522"/>
      <c r="J12" s="522"/>
      <c r="K12" s="26"/>
      <c r="L12" s="26"/>
      <c r="M12" s="26"/>
      <c r="N12" s="26"/>
      <c r="O12" s="26"/>
      <c r="P12" s="26"/>
      <c r="Q12" s="26"/>
      <c r="R12" s="26"/>
      <c r="S12" s="26"/>
      <c r="T12" s="26"/>
      <c r="U12" s="26"/>
      <c r="V12" s="26"/>
      <c r="W12" s="26"/>
      <c r="X12" s="26"/>
      <c r="Y12" s="26"/>
      <c r="Z12" s="26"/>
      <c r="AA12" s="26"/>
      <c r="AB12" s="26"/>
      <c r="AC12" s="26"/>
      <c r="AD12" s="26"/>
    </row>
    <row r="13" spans="1:30"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row>
    <row r="14" spans="1:30" ht="14.45" customHeight="1" x14ac:dyDescent="0.25">
      <c r="A14" s="26"/>
      <c r="B14" s="523"/>
      <c r="C14" s="530"/>
      <c r="D14" s="530"/>
      <c r="E14" s="530"/>
      <c r="F14" s="530"/>
      <c r="G14" s="530"/>
      <c r="H14" s="530"/>
      <c r="I14" s="530"/>
      <c r="J14" s="530"/>
      <c r="K14" s="26"/>
      <c r="L14" s="26"/>
      <c r="M14" s="26"/>
      <c r="N14" s="26"/>
      <c r="O14" s="26"/>
      <c r="P14" s="26"/>
      <c r="Q14" s="26"/>
      <c r="R14" s="26"/>
      <c r="S14" s="26"/>
      <c r="T14" s="26"/>
      <c r="U14" s="26"/>
      <c r="V14" s="26"/>
      <c r="W14" s="26"/>
      <c r="X14" s="26"/>
      <c r="Y14" s="26"/>
      <c r="Z14" s="26"/>
      <c r="AA14" s="26"/>
      <c r="AB14" s="26"/>
      <c r="AC14" s="26"/>
      <c r="AD14" s="26"/>
    </row>
    <row r="15" spans="1:30" ht="81" customHeight="1" x14ac:dyDescent="0.25">
      <c r="A15" s="26"/>
      <c r="B15" s="523"/>
      <c r="C15" s="530"/>
      <c r="D15" s="530"/>
      <c r="E15" s="530"/>
      <c r="F15" s="530"/>
      <c r="G15" s="530"/>
      <c r="H15" s="530"/>
      <c r="I15" s="530"/>
      <c r="J15" s="530"/>
      <c r="K15" s="26"/>
      <c r="L15" s="26"/>
      <c r="M15" s="26"/>
      <c r="N15" s="26"/>
      <c r="O15" s="26"/>
      <c r="P15" s="26"/>
      <c r="Q15" s="26"/>
      <c r="R15" s="26"/>
      <c r="S15" s="26"/>
      <c r="T15" s="26"/>
      <c r="U15" s="26"/>
      <c r="V15" s="26"/>
      <c r="W15" s="26"/>
      <c r="X15" s="26"/>
      <c r="Y15" s="26"/>
      <c r="Z15" s="26"/>
      <c r="AA15" s="26"/>
      <c r="AB15" s="26"/>
      <c r="AC15" s="26"/>
      <c r="AD15" s="26"/>
    </row>
    <row r="16" spans="1:30" ht="21.6" customHeight="1" x14ac:dyDescent="0.25">
      <c r="A16" s="26"/>
      <c r="B16" s="4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row>
    <row r="17" spans="1:30" ht="21" x14ac:dyDescent="0.35">
      <c r="A17" s="26"/>
      <c r="B17" s="525" t="s">
        <v>2</v>
      </c>
      <c r="C17" s="525"/>
      <c r="D17" s="525"/>
      <c r="E17" s="525"/>
      <c r="F17" s="525"/>
      <c r="G17" s="525"/>
      <c r="H17" s="525"/>
      <c r="I17" s="26"/>
      <c r="J17" s="26"/>
      <c r="K17" s="26"/>
      <c r="L17" s="26"/>
      <c r="M17" s="26"/>
      <c r="N17" s="26"/>
      <c r="O17" s="26"/>
      <c r="P17" s="26"/>
      <c r="Q17" s="26"/>
      <c r="R17" s="26"/>
      <c r="S17" s="26"/>
      <c r="T17" s="26"/>
      <c r="U17" s="26"/>
      <c r="V17" s="26"/>
      <c r="W17" s="26"/>
      <c r="X17" s="26"/>
      <c r="Y17" s="26"/>
      <c r="Z17" s="26"/>
      <c r="AA17" s="26"/>
      <c r="AB17" s="26"/>
      <c r="AC17" s="26"/>
      <c r="AD17" s="26"/>
    </row>
    <row r="18" spans="1:30" ht="15.75" thickBot="1" x14ac:dyDescent="0.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row>
    <row r="19" spans="1:30" ht="14.45" customHeight="1" x14ac:dyDescent="0.25">
      <c r="A19" s="26"/>
      <c r="B19" s="531"/>
      <c r="C19" s="532"/>
      <c r="D19" s="535" t="s">
        <v>3</v>
      </c>
      <c r="E19" s="536"/>
      <c r="F19" s="536"/>
      <c r="G19" s="536"/>
      <c r="H19" s="537"/>
      <c r="I19" s="26"/>
      <c r="J19" s="26"/>
      <c r="K19" s="26"/>
      <c r="L19" s="26"/>
      <c r="M19" s="26"/>
      <c r="N19" s="26"/>
      <c r="O19" s="26"/>
      <c r="P19" s="26"/>
      <c r="Q19" s="26"/>
      <c r="R19" s="26"/>
      <c r="S19" s="26"/>
      <c r="T19" s="26"/>
      <c r="U19" s="26"/>
      <c r="V19" s="26"/>
      <c r="W19" s="26"/>
      <c r="X19" s="26"/>
      <c r="Y19" s="26"/>
      <c r="Z19" s="26"/>
      <c r="AA19" s="26"/>
      <c r="AB19" s="26"/>
      <c r="AC19" s="26"/>
      <c r="AD19" s="26"/>
    </row>
    <row r="20" spans="1:30" ht="15" customHeight="1" x14ac:dyDescent="0.25">
      <c r="A20" s="26"/>
      <c r="B20" s="533"/>
      <c r="C20" s="534"/>
      <c r="D20" s="508"/>
      <c r="E20" s="509"/>
      <c r="F20" s="509"/>
      <c r="G20" s="509"/>
      <c r="H20" s="510"/>
      <c r="I20" s="26"/>
      <c r="J20" s="26"/>
      <c r="K20" s="26"/>
      <c r="L20" s="26"/>
      <c r="M20" s="26"/>
      <c r="N20" s="26"/>
      <c r="O20" s="26"/>
      <c r="P20" s="26"/>
      <c r="Q20" s="26"/>
      <c r="R20" s="26"/>
      <c r="S20" s="26"/>
      <c r="T20" s="26"/>
      <c r="U20" s="26"/>
      <c r="V20" s="26"/>
      <c r="W20" s="26"/>
      <c r="X20" s="26"/>
      <c r="Y20" s="26"/>
      <c r="Z20" s="26"/>
      <c r="AA20" s="26"/>
      <c r="AB20" s="26"/>
      <c r="AC20" s="26"/>
      <c r="AD20" s="26"/>
    </row>
    <row r="21" spans="1:30" ht="14.45" customHeight="1" x14ac:dyDescent="0.25">
      <c r="A21" s="26"/>
      <c r="B21" s="501"/>
      <c r="C21" s="502"/>
      <c r="D21" s="505" t="s">
        <v>4</v>
      </c>
      <c r="E21" s="506"/>
      <c r="F21" s="506"/>
      <c r="G21" s="506"/>
      <c r="H21" s="507"/>
      <c r="I21" s="26"/>
      <c r="J21" s="26"/>
      <c r="K21" s="26"/>
      <c r="L21" s="26"/>
      <c r="M21" s="26"/>
      <c r="N21" s="26"/>
      <c r="O21" s="26"/>
      <c r="P21" s="26"/>
      <c r="Q21" s="26"/>
      <c r="R21" s="26"/>
      <c r="S21" s="26"/>
      <c r="T21" s="26"/>
      <c r="U21" s="26"/>
      <c r="V21" s="26"/>
      <c r="W21" s="26"/>
      <c r="X21" s="26"/>
      <c r="Y21" s="26"/>
      <c r="Z21" s="26"/>
      <c r="AA21" s="26"/>
      <c r="AB21" s="26"/>
      <c r="AC21" s="26"/>
      <c r="AD21" s="26"/>
    </row>
    <row r="22" spans="1:30" ht="14.45" customHeight="1" x14ac:dyDescent="0.25">
      <c r="A22" s="26"/>
      <c r="B22" s="503"/>
      <c r="C22" s="504"/>
      <c r="D22" s="508"/>
      <c r="E22" s="509"/>
      <c r="F22" s="509"/>
      <c r="G22" s="509"/>
      <c r="H22" s="510"/>
      <c r="I22" s="26"/>
      <c r="J22" s="26"/>
      <c r="K22" s="26"/>
      <c r="L22" s="26"/>
      <c r="M22" s="26"/>
      <c r="N22" s="26"/>
      <c r="O22" s="26"/>
      <c r="P22" s="26"/>
      <c r="Q22" s="26"/>
      <c r="R22" s="26"/>
      <c r="S22" s="26"/>
      <c r="T22" s="26"/>
      <c r="U22" s="26"/>
      <c r="V22" s="26"/>
      <c r="W22" s="26"/>
      <c r="X22" s="26"/>
      <c r="Y22" s="26"/>
      <c r="Z22" s="26"/>
      <c r="AA22" s="26"/>
      <c r="AB22" s="26"/>
      <c r="AC22" s="26"/>
      <c r="AD22" s="26"/>
    </row>
    <row r="23" spans="1:30" ht="14.45" customHeight="1" x14ac:dyDescent="0.25">
      <c r="A23" s="26"/>
      <c r="B23" s="542"/>
      <c r="C23" s="543"/>
      <c r="D23" s="546" t="s">
        <v>5</v>
      </c>
      <c r="E23" s="547"/>
      <c r="F23" s="547"/>
      <c r="G23" s="547"/>
      <c r="H23" s="548"/>
      <c r="I23" s="26"/>
      <c r="J23" s="26"/>
      <c r="K23" s="26"/>
      <c r="L23" s="26"/>
      <c r="M23" s="26"/>
      <c r="N23" s="26"/>
      <c r="O23" s="26"/>
      <c r="P23" s="26"/>
      <c r="Q23" s="26"/>
      <c r="R23" s="26"/>
      <c r="S23" s="26"/>
      <c r="T23" s="26"/>
      <c r="U23" s="26"/>
      <c r="V23" s="26"/>
      <c r="W23" s="26"/>
      <c r="X23" s="26"/>
      <c r="Y23" s="26"/>
      <c r="Z23" s="26"/>
      <c r="AA23" s="26"/>
      <c r="AB23" s="26"/>
      <c r="AC23" s="26"/>
      <c r="AD23" s="26"/>
    </row>
    <row r="24" spans="1:30" ht="14.45" customHeight="1" x14ac:dyDescent="0.25">
      <c r="A24" s="26"/>
      <c r="B24" s="544"/>
      <c r="C24" s="545"/>
      <c r="D24" s="549"/>
      <c r="E24" s="550"/>
      <c r="F24" s="550"/>
      <c r="G24" s="550"/>
      <c r="H24" s="551"/>
      <c r="I24" s="26"/>
      <c r="J24" s="26"/>
      <c r="K24" s="26"/>
      <c r="L24" s="26"/>
      <c r="M24" s="26"/>
      <c r="N24" s="26"/>
      <c r="O24" s="26"/>
      <c r="P24" s="26"/>
      <c r="Q24" s="26"/>
      <c r="R24" s="26"/>
      <c r="S24" s="26"/>
      <c r="T24" s="26"/>
      <c r="U24" s="26"/>
      <c r="V24" s="26"/>
      <c r="W24" s="26"/>
      <c r="X24" s="26"/>
      <c r="Y24" s="26"/>
      <c r="Z24" s="26"/>
      <c r="AA24" s="26"/>
      <c r="AB24" s="26"/>
      <c r="AC24" s="26"/>
      <c r="AD24" s="26"/>
    </row>
    <row r="25" spans="1:30" ht="27.95" customHeight="1" x14ac:dyDescent="0.25">
      <c r="A25" s="26"/>
      <c r="B25" s="452"/>
      <c r="C25" s="453"/>
      <c r="D25" s="517" t="s">
        <v>969</v>
      </c>
      <c r="E25" s="518"/>
      <c r="F25" s="518"/>
      <c r="G25" s="518"/>
      <c r="H25" s="519"/>
      <c r="I25" s="26"/>
      <c r="J25" s="26"/>
      <c r="K25" s="26"/>
      <c r="L25" s="26"/>
      <c r="M25" s="26"/>
      <c r="N25" s="26"/>
      <c r="O25" s="26"/>
      <c r="P25" s="26"/>
      <c r="Q25" s="26"/>
      <c r="R25" s="26"/>
      <c r="S25" s="26"/>
      <c r="T25" s="26"/>
      <c r="U25" s="26"/>
      <c r="V25" s="26"/>
      <c r="W25" s="26"/>
      <c r="X25" s="26"/>
      <c r="Y25" s="26"/>
      <c r="Z25" s="26"/>
      <c r="AA25" s="26"/>
      <c r="AB25" s="26"/>
      <c r="AC25" s="26"/>
      <c r="AD25" s="26"/>
    </row>
    <row r="26" spans="1:30" ht="32.1" customHeight="1" x14ac:dyDescent="0.25">
      <c r="A26" s="26"/>
      <c r="B26" s="454"/>
      <c r="C26" s="455"/>
      <c r="D26" s="517" t="s">
        <v>993</v>
      </c>
      <c r="E26" s="518"/>
      <c r="F26" s="518"/>
      <c r="G26" s="518"/>
      <c r="H26" s="519"/>
      <c r="I26" s="26"/>
      <c r="J26" s="26"/>
      <c r="K26" s="26"/>
      <c r="L26" s="26"/>
      <c r="M26" s="26"/>
      <c r="N26" s="26"/>
      <c r="O26" s="26"/>
      <c r="P26" s="26"/>
      <c r="Q26" s="26"/>
      <c r="R26" s="26"/>
      <c r="S26" s="26"/>
      <c r="T26" s="26"/>
      <c r="U26" s="26"/>
      <c r="V26" s="26"/>
      <c r="W26" s="26"/>
      <c r="X26" s="26"/>
      <c r="Y26" s="26"/>
      <c r="Z26" s="26"/>
      <c r="AA26" s="26"/>
      <c r="AB26" s="26"/>
      <c r="AC26" s="26"/>
      <c r="AD26" s="26"/>
    </row>
    <row r="27" spans="1:30" ht="27" customHeight="1" x14ac:dyDescent="0.25">
      <c r="A27" s="26"/>
      <c r="B27" s="515" t="s">
        <v>971</v>
      </c>
      <c r="C27" s="516"/>
      <c r="D27" s="517" t="s">
        <v>970</v>
      </c>
      <c r="E27" s="518"/>
      <c r="F27" s="518"/>
      <c r="G27" s="518"/>
      <c r="H27" s="519"/>
      <c r="I27" s="26"/>
      <c r="J27" s="26"/>
      <c r="K27" s="26"/>
      <c r="L27" s="26"/>
      <c r="M27" s="26"/>
      <c r="N27" s="26"/>
      <c r="O27" s="26"/>
      <c r="P27" s="26"/>
      <c r="Q27" s="26"/>
      <c r="R27" s="26"/>
      <c r="S27" s="26"/>
      <c r="T27" s="26"/>
      <c r="U27" s="26"/>
      <c r="V27" s="26"/>
      <c r="W27" s="26"/>
      <c r="X27" s="26"/>
      <c r="Y27" s="26"/>
      <c r="Z27" s="26"/>
      <c r="AA27" s="26"/>
      <c r="AB27" s="26"/>
      <c r="AC27" s="26"/>
      <c r="AD27" s="26"/>
    </row>
    <row r="28" spans="1:30" ht="24" customHeight="1" x14ac:dyDescent="0.25">
      <c r="A28" s="26"/>
      <c r="B28" s="538" t="s">
        <v>972</v>
      </c>
      <c r="C28" s="539"/>
      <c r="D28" s="540" t="s">
        <v>973</v>
      </c>
      <c r="E28" s="540"/>
      <c r="F28" s="540"/>
      <c r="G28" s="540"/>
      <c r="H28" s="541"/>
      <c r="I28" s="26"/>
      <c r="J28" s="520" t="s">
        <v>6</v>
      </c>
      <c r="K28" s="520"/>
      <c r="L28" s="520"/>
      <c r="M28" s="520"/>
      <c r="N28" s="520"/>
      <c r="O28" s="520"/>
      <c r="P28" s="520"/>
      <c r="Q28" s="520"/>
      <c r="R28" s="520"/>
      <c r="S28" s="26"/>
      <c r="T28" s="26"/>
      <c r="U28" s="26"/>
      <c r="V28" s="26"/>
      <c r="W28" s="26"/>
      <c r="X28" s="26"/>
      <c r="Y28" s="26"/>
      <c r="Z28" s="26"/>
      <c r="AA28" s="26"/>
      <c r="AB28" s="26"/>
      <c r="AC28" s="26"/>
      <c r="AD28" s="26"/>
    </row>
    <row r="29" spans="1:30" ht="24" customHeight="1" thickBot="1" x14ac:dyDescent="0.3">
      <c r="A29" s="26"/>
      <c r="B29" s="511"/>
      <c r="C29" s="512"/>
      <c r="D29" s="513" t="s">
        <v>974</v>
      </c>
      <c r="E29" s="513"/>
      <c r="F29" s="513"/>
      <c r="G29" s="513"/>
      <c r="H29" s="514"/>
      <c r="I29" s="26"/>
      <c r="J29" s="26"/>
      <c r="K29" s="26"/>
      <c r="L29" s="26"/>
      <c r="M29" s="26"/>
      <c r="N29" s="26"/>
      <c r="O29" s="26"/>
      <c r="P29" s="26"/>
      <c r="Q29" s="26"/>
      <c r="R29" s="26"/>
      <c r="S29" s="26"/>
      <c r="T29" s="26"/>
      <c r="U29" s="26"/>
      <c r="V29" s="26"/>
      <c r="W29" s="26"/>
      <c r="X29" s="26"/>
      <c r="Y29" s="26"/>
      <c r="Z29" s="26"/>
      <c r="AA29" s="26"/>
      <c r="AB29" s="26"/>
      <c r="AC29" s="26"/>
      <c r="AD29" s="26"/>
    </row>
    <row r="30" spans="1:30" ht="27.6"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30" ht="21.6" customHeight="1"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ht="15.6" customHeight="1"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ht="15.6"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hidden="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1:30" hidden="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1:30" hidden="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1:30" hidden="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idden="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hidden="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idden="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hidden="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30" hidden="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row>
    <row r="46" spans="1:30" hidden="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row>
    <row r="47" spans="1:30" hidden="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row>
    <row r="48" spans="1:30" hidden="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hidden="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hidden="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hidden="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row>
    <row r="52" spans="1:30" hidden="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hidden="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hidden="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1:30" hidden="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row>
    <row r="56" spans="1:30" hidden="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hidden="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hidden="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0" hidden="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0" hidden="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row>
    <row r="61" spans="1:30" hidden="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hidden="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hidden="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hidden="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hidden="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1:30" hidden="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row>
    <row r="67" spans="1:30" hidden="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row>
    <row r="68" spans="1:30" hidden="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row>
    <row r="69" spans="1:30" hidden="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row>
    <row r="70" spans="1:30" hidden="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row>
    <row r="71" spans="1:30" hidden="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row>
    <row r="72" spans="1:30" hidden="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row>
    <row r="73" spans="1:30" hidden="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row>
    <row r="74" spans="1:30" hidden="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row>
    <row r="75" spans="1:30" hidden="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row>
    <row r="76" spans="1:30" hidden="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7" spans="1:30" hidden="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hidden="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hidden="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hidden="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30" hidden="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row>
    <row r="82" spans="1:30" hidden="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row>
    <row r="83" spans="1:30" hidden="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row>
    <row r="84" spans="1:30" hidden="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row>
    <row r="85" spans="1:30" hidden="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row>
    <row r="86" spans="1:30" hidden="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row>
    <row r="87" spans="1:30" hidden="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1:30" hidden="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row>
    <row r="89" spans="1:30" hidden="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row>
    <row r="90" spans="1:30" hidden="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row>
    <row r="91" spans="1:30" hidden="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row>
    <row r="92" spans="1:30" hidden="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row>
    <row r="93" spans="1:30" hidden="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row>
    <row r="94" spans="1:30" hidden="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row>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customFormat="1" hidden="1" x14ac:dyDescent="0.25"/>
    <row r="114" customFormat="1" hidden="1" x14ac:dyDescent="0.25"/>
    <row r="115" customFormat="1" hidden="1" x14ac:dyDescent="0.25"/>
    <row r="116" customFormat="1" hidden="1" x14ac:dyDescent="0.25"/>
    <row r="117" customFormat="1" hidden="1" x14ac:dyDescent="0.25"/>
    <row r="118" customFormat="1" hidden="1" x14ac:dyDescent="0.25"/>
    <row r="119" customFormat="1" hidden="1" x14ac:dyDescent="0.25"/>
    <row r="120" customFormat="1" hidden="1" x14ac:dyDescent="0.25"/>
    <row r="121" customFormat="1" hidden="1" x14ac:dyDescent="0.25"/>
    <row r="122" customFormat="1" hidden="1" x14ac:dyDescent="0.25"/>
    <row r="123" customFormat="1" hidden="1" x14ac:dyDescent="0.25"/>
    <row r="124" customFormat="1" hidden="1" x14ac:dyDescent="0.25"/>
    <row r="125" customFormat="1" hidden="1" x14ac:dyDescent="0.25"/>
    <row r="126" customFormat="1" hidden="1" x14ac:dyDescent="0.25"/>
    <row r="127" customFormat="1" hidden="1" x14ac:dyDescent="0.25"/>
    <row r="128" customFormat="1" hidden="1" x14ac:dyDescent="0.25"/>
    <row r="129" customFormat="1" hidden="1" x14ac:dyDescent="0.25"/>
    <row r="130" customFormat="1" hidden="1" x14ac:dyDescent="0.25"/>
  </sheetData>
  <sheetProtection algorithmName="SHA-512" hashValue="7q6hj7wg3zT1CI66ltjulZlsDxvDb2Y1EGhNK+Q3HK7KLXZ8lDtms6aCZNx0yhS0Oqg0KDL7J+7eKRom3hMvng==" saltValue="6FxUFKOdHHj8MJ+Ymfrt8g==" spinCount="100000" sheet="1" objects="1" scenarios="1"/>
  <mergeCells count="24">
    <mergeCell ref="J28:R28"/>
    <mergeCell ref="F11:J11"/>
    <mergeCell ref="B12:J12"/>
    <mergeCell ref="B14:B15"/>
    <mergeCell ref="D1:J5"/>
    <mergeCell ref="B17:H17"/>
    <mergeCell ref="B6:J8"/>
    <mergeCell ref="B9:J10"/>
    <mergeCell ref="B11:E11"/>
    <mergeCell ref="C14:J15"/>
    <mergeCell ref="B19:C20"/>
    <mergeCell ref="D19:H20"/>
    <mergeCell ref="B28:C28"/>
    <mergeCell ref="D28:H28"/>
    <mergeCell ref="B23:C24"/>
    <mergeCell ref="D23:H24"/>
    <mergeCell ref="B21:C22"/>
    <mergeCell ref="D21:H22"/>
    <mergeCell ref="B29:C29"/>
    <mergeCell ref="D29:H29"/>
    <mergeCell ref="B27:C27"/>
    <mergeCell ref="D27:H27"/>
    <mergeCell ref="D25:H25"/>
    <mergeCell ref="D26:H26"/>
  </mergeCells>
  <pageMargins left="0.7" right="0.7" top="0.75" bottom="0.75" header="0.3" footer="0.3"/>
  <pageSetup paperSize="9" scale="56"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1BD83-4DCB-48C1-9984-9BC62BA2F706}">
  <sheetPr codeName="Sheet11">
    <tabColor rgb="FF005E5C"/>
  </sheetPr>
  <dimension ref="A1:AF136"/>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ColWidth="0" defaultRowHeight="15" x14ac:dyDescent="0.25"/>
  <cols>
    <col min="1" max="1" width="8.85546875" customWidth="1"/>
    <col min="2" max="2" width="79.28515625" customWidth="1"/>
    <col min="3" max="3" width="24.140625" customWidth="1"/>
    <col min="4" max="4" width="31.140625" customWidth="1"/>
    <col min="5" max="5" width="114.5703125" customWidth="1"/>
    <col min="6" max="6" width="35.7109375" customWidth="1"/>
    <col min="7" max="11" width="17.85546875" customWidth="1"/>
    <col min="12" max="13" width="41.28515625" customWidth="1"/>
    <col min="14" max="14" width="96" customWidth="1"/>
    <col min="15" max="20" width="9.140625" customWidth="1"/>
    <col min="21" max="32" width="0" hidden="1" customWidth="1"/>
    <col min="33" max="16384" width="9.140625" hidden="1"/>
  </cols>
  <sheetData>
    <row r="1" spans="1:20" x14ac:dyDescent="0.25">
      <c r="A1" s="26"/>
      <c r="B1" s="904" t="s">
        <v>992</v>
      </c>
      <c r="C1" s="905"/>
      <c r="D1" s="905"/>
      <c r="E1" s="905"/>
      <c r="F1" s="905"/>
      <c r="G1" s="905"/>
      <c r="H1" s="905"/>
      <c r="I1" s="905"/>
      <c r="J1" s="905"/>
      <c r="K1" s="905"/>
      <c r="L1" s="905"/>
      <c r="M1" s="905"/>
      <c r="N1" s="906"/>
      <c r="O1" s="26"/>
      <c r="P1" s="26"/>
      <c r="Q1" s="26"/>
      <c r="R1" s="26"/>
      <c r="S1" s="26"/>
      <c r="T1" s="26"/>
    </row>
    <row r="2" spans="1:20" ht="15.75" thickBot="1" x14ac:dyDescent="0.3">
      <c r="A2" s="26"/>
      <c r="B2" s="907"/>
      <c r="C2" s="908"/>
      <c r="D2" s="908"/>
      <c r="E2" s="908"/>
      <c r="F2" s="908"/>
      <c r="G2" s="908"/>
      <c r="H2" s="908"/>
      <c r="I2" s="908"/>
      <c r="J2" s="908"/>
      <c r="K2" s="908"/>
      <c r="L2" s="908"/>
      <c r="M2" s="908"/>
      <c r="N2" s="909"/>
      <c r="O2" s="26"/>
      <c r="P2" s="26"/>
      <c r="Q2" s="26"/>
      <c r="R2" s="26"/>
      <c r="S2" s="26"/>
      <c r="T2" s="26"/>
    </row>
    <row r="3" spans="1:20" ht="18.75" x14ac:dyDescent="0.25">
      <c r="A3" s="26"/>
      <c r="B3" s="916" t="s">
        <v>217</v>
      </c>
      <c r="C3" s="913" t="s">
        <v>300</v>
      </c>
      <c r="D3" s="914"/>
      <c r="E3" s="914"/>
      <c r="F3" s="915"/>
      <c r="G3" s="929" t="s">
        <v>301</v>
      </c>
      <c r="H3" s="930"/>
      <c r="I3" s="930"/>
      <c r="J3" s="930"/>
      <c r="K3" s="930"/>
      <c r="L3" s="930"/>
      <c r="M3" s="931"/>
      <c r="N3" s="910" t="s">
        <v>302</v>
      </c>
      <c r="O3" s="26"/>
      <c r="P3" s="26"/>
      <c r="Q3" s="26"/>
      <c r="R3" s="26"/>
      <c r="S3" s="26"/>
      <c r="T3" s="26"/>
    </row>
    <row r="4" spans="1:20" ht="98.1" customHeight="1" x14ac:dyDescent="0.25">
      <c r="A4" s="26"/>
      <c r="B4" s="917"/>
      <c r="C4" s="927" t="s">
        <v>303</v>
      </c>
      <c r="D4" s="925" t="s">
        <v>304</v>
      </c>
      <c r="E4" s="925" t="s">
        <v>956</v>
      </c>
      <c r="F4" s="923" t="s">
        <v>305</v>
      </c>
      <c r="G4" s="64" t="s">
        <v>306</v>
      </c>
      <c r="H4" s="249" t="s">
        <v>307</v>
      </c>
      <c r="I4" s="249" t="s">
        <v>920</v>
      </c>
      <c r="J4" s="249" t="s">
        <v>923</v>
      </c>
      <c r="K4" s="249" t="s">
        <v>921</v>
      </c>
      <c r="L4" s="921" t="s">
        <v>308</v>
      </c>
      <c r="M4" s="919" t="s">
        <v>309</v>
      </c>
      <c r="N4" s="911"/>
      <c r="O4" s="26"/>
      <c r="P4" s="26"/>
      <c r="Q4" s="26"/>
      <c r="R4" s="26"/>
      <c r="S4" s="26"/>
      <c r="T4" s="26"/>
    </row>
    <row r="5" spans="1:20" ht="65.45" customHeight="1" thickBot="1" x14ac:dyDescent="0.3">
      <c r="A5" s="26"/>
      <c r="B5" s="918"/>
      <c r="C5" s="928"/>
      <c r="D5" s="926"/>
      <c r="E5" s="926"/>
      <c r="F5" s="924"/>
      <c r="G5" s="252" t="s">
        <v>98</v>
      </c>
      <c r="H5" s="251" t="s">
        <v>310</v>
      </c>
      <c r="I5" s="251" t="s">
        <v>316</v>
      </c>
      <c r="J5" s="251" t="s">
        <v>924</v>
      </c>
      <c r="K5" s="251" t="s">
        <v>321</v>
      </c>
      <c r="L5" s="922"/>
      <c r="M5" s="920"/>
      <c r="N5" s="912"/>
      <c r="O5" s="26"/>
      <c r="P5" s="26"/>
      <c r="Q5" s="26"/>
      <c r="R5" s="26"/>
      <c r="S5" s="26"/>
      <c r="T5" s="26"/>
    </row>
    <row r="6" spans="1:20" ht="30" x14ac:dyDescent="0.25">
      <c r="A6" s="26"/>
      <c r="B6" s="386" t="s">
        <v>228</v>
      </c>
      <c r="C6" s="384" t="s">
        <v>924</v>
      </c>
      <c r="D6" s="268" t="s">
        <v>924</v>
      </c>
      <c r="E6" s="389" t="s">
        <v>311</v>
      </c>
      <c r="F6" s="387" t="s">
        <v>924</v>
      </c>
      <c r="G6" s="253" t="s">
        <v>312</v>
      </c>
      <c r="H6" s="250" t="s">
        <v>312</v>
      </c>
      <c r="I6" s="250" t="s">
        <v>312</v>
      </c>
      <c r="J6" s="250">
        <v>1</v>
      </c>
      <c r="K6" s="7" t="s">
        <v>312</v>
      </c>
      <c r="L6" s="250" t="s">
        <v>312</v>
      </c>
      <c r="M6" s="254">
        <v>1</v>
      </c>
      <c r="N6" s="263" t="s">
        <v>311</v>
      </c>
      <c r="O6" s="26"/>
      <c r="P6" s="26"/>
      <c r="Q6" s="26"/>
      <c r="R6" s="26"/>
      <c r="S6" s="26"/>
      <c r="T6" s="26"/>
    </row>
    <row r="7" spans="1:20" ht="30" x14ac:dyDescent="0.25">
      <c r="A7" s="26"/>
      <c r="B7" s="260" t="s">
        <v>230</v>
      </c>
      <c r="C7" s="385" t="s">
        <v>924</v>
      </c>
      <c r="D7" s="9" t="s">
        <v>924</v>
      </c>
      <c r="E7" s="262" t="s">
        <v>311</v>
      </c>
      <c r="F7" s="387" t="s">
        <v>924</v>
      </c>
      <c r="G7" s="255" t="s">
        <v>312</v>
      </c>
      <c r="H7" s="7" t="s">
        <v>312</v>
      </c>
      <c r="I7" s="7" t="s">
        <v>312</v>
      </c>
      <c r="J7" s="7">
        <v>1</v>
      </c>
      <c r="K7" s="7" t="s">
        <v>312</v>
      </c>
      <c r="L7" s="7" t="s">
        <v>312</v>
      </c>
      <c r="M7" s="256">
        <v>1</v>
      </c>
      <c r="N7" s="264" t="s">
        <v>311</v>
      </c>
      <c r="O7" s="26"/>
      <c r="P7" s="26"/>
      <c r="Q7" s="26"/>
      <c r="R7" s="26"/>
      <c r="S7" s="26"/>
      <c r="T7" s="26"/>
    </row>
    <row r="8" spans="1:20" ht="30" x14ac:dyDescent="0.25">
      <c r="A8" s="26"/>
      <c r="B8" s="260" t="s">
        <v>928</v>
      </c>
      <c r="C8" s="385" t="s">
        <v>924</v>
      </c>
      <c r="D8" s="9" t="s">
        <v>924</v>
      </c>
      <c r="E8" s="262" t="s">
        <v>311</v>
      </c>
      <c r="F8" s="387" t="s">
        <v>924</v>
      </c>
      <c r="G8" s="255" t="s">
        <v>312</v>
      </c>
      <c r="H8" s="7" t="s">
        <v>312</v>
      </c>
      <c r="I8" s="7" t="s">
        <v>312</v>
      </c>
      <c r="J8" s="7">
        <v>1</v>
      </c>
      <c r="K8" s="7" t="s">
        <v>312</v>
      </c>
      <c r="L8" s="7" t="s">
        <v>312</v>
      </c>
      <c r="M8" s="256">
        <v>1</v>
      </c>
      <c r="N8" s="264" t="s">
        <v>311</v>
      </c>
      <c r="O8" s="26"/>
      <c r="P8" s="26"/>
      <c r="Q8" s="26"/>
      <c r="R8" s="26"/>
      <c r="S8" s="26"/>
      <c r="T8" s="26"/>
    </row>
    <row r="9" spans="1:20" ht="30" x14ac:dyDescent="0.25">
      <c r="A9" s="26"/>
      <c r="B9" s="260" t="s">
        <v>232</v>
      </c>
      <c r="C9" s="385" t="s">
        <v>924</v>
      </c>
      <c r="D9" s="9" t="s">
        <v>924</v>
      </c>
      <c r="E9" s="262" t="s">
        <v>311</v>
      </c>
      <c r="F9" s="387" t="s">
        <v>924</v>
      </c>
      <c r="G9" s="255" t="s">
        <v>312</v>
      </c>
      <c r="H9" s="7" t="s">
        <v>312</v>
      </c>
      <c r="I9" s="7" t="s">
        <v>312</v>
      </c>
      <c r="J9" s="7">
        <v>1</v>
      </c>
      <c r="K9" s="7" t="s">
        <v>312</v>
      </c>
      <c r="L9" s="7" t="s">
        <v>312</v>
      </c>
      <c r="M9" s="256">
        <v>1</v>
      </c>
      <c r="N9" s="264" t="s">
        <v>311</v>
      </c>
      <c r="O9" s="26"/>
      <c r="P9" s="26"/>
      <c r="Q9" s="26"/>
      <c r="R9" s="26"/>
      <c r="S9" s="26"/>
      <c r="T9" s="26"/>
    </row>
    <row r="10" spans="1:20" ht="30" x14ac:dyDescent="0.25">
      <c r="A10" s="26"/>
      <c r="B10" s="260" t="s">
        <v>233</v>
      </c>
      <c r="C10" s="385" t="s">
        <v>924</v>
      </c>
      <c r="D10" s="9" t="s">
        <v>924</v>
      </c>
      <c r="E10" s="262" t="s">
        <v>955</v>
      </c>
      <c r="F10" s="267" t="s">
        <v>312</v>
      </c>
      <c r="G10" s="255" t="s">
        <v>312</v>
      </c>
      <c r="H10" s="7" t="s">
        <v>312</v>
      </c>
      <c r="I10" s="7" t="s">
        <v>312</v>
      </c>
      <c r="J10" s="7">
        <v>1</v>
      </c>
      <c r="K10" s="7" t="s">
        <v>312</v>
      </c>
      <c r="L10" s="7" t="s">
        <v>312</v>
      </c>
      <c r="M10" s="256" t="s">
        <v>312</v>
      </c>
      <c r="N10" s="264" t="s">
        <v>313</v>
      </c>
      <c r="O10" s="26"/>
      <c r="P10" s="26"/>
      <c r="Q10" s="26"/>
      <c r="R10" s="26"/>
      <c r="S10" s="26"/>
      <c r="T10" s="26"/>
    </row>
    <row r="11" spans="1:20" ht="30" x14ac:dyDescent="0.25">
      <c r="A11" s="26"/>
      <c r="B11" s="260" t="s">
        <v>929</v>
      </c>
      <c r="C11" s="385" t="s">
        <v>924</v>
      </c>
      <c r="D11" s="9" t="s">
        <v>924</v>
      </c>
      <c r="E11" s="262" t="s">
        <v>311</v>
      </c>
      <c r="F11" s="387" t="s">
        <v>924</v>
      </c>
      <c r="G11" s="255" t="s">
        <v>312</v>
      </c>
      <c r="H11" s="7" t="s">
        <v>312</v>
      </c>
      <c r="I11" s="7" t="s">
        <v>312</v>
      </c>
      <c r="J11" s="7">
        <v>1</v>
      </c>
      <c r="K11" s="7" t="s">
        <v>312</v>
      </c>
      <c r="L11" s="7" t="s">
        <v>312</v>
      </c>
      <c r="M11" s="256">
        <v>1</v>
      </c>
      <c r="N11" s="264" t="s">
        <v>311</v>
      </c>
      <c r="O11" s="26"/>
      <c r="P11" s="26"/>
      <c r="Q11" s="26"/>
      <c r="R11" s="26"/>
      <c r="S11" s="26"/>
      <c r="T11" s="26"/>
    </row>
    <row r="12" spans="1:20" ht="30" x14ac:dyDescent="0.25">
      <c r="A12" s="26"/>
      <c r="B12" s="260" t="s">
        <v>236</v>
      </c>
      <c r="C12" s="385" t="s">
        <v>924</v>
      </c>
      <c r="D12" s="9" t="s">
        <v>924</v>
      </c>
      <c r="E12" s="262" t="s">
        <v>955</v>
      </c>
      <c r="F12" s="267" t="s">
        <v>312</v>
      </c>
      <c r="G12" s="255" t="s">
        <v>312</v>
      </c>
      <c r="H12" s="7" t="s">
        <v>312</v>
      </c>
      <c r="I12" s="7" t="s">
        <v>312</v>
      </c>
      <c r="J12" s="7">
        <v>1</v>
      </c>
      <c r="K12" s="7" t="s">
        <v>312</v>
      </c>
      <c r="L12" s="7" t="s">
        <v>312</v>
      </c>
      <c r="M12" s="256" t="s">
        <v>312</v>
      </c>
      <c r="N12" s="264" t="s">
        <v>313</v>
      </c>
      <c r="O12" s="26"/>
      <c r="P12" s="26"/>
      <c r="Q12" s="26"/>
      <c r="R12" s="26"/>
      <c r="S12" s="26"/>
      <c r="T12" s="26"/>
    </row>
    <row r="13" spans="1:20" ht="30" x14ac:dyDescent="0.25">
      <c r="A13" s="26"/>
      <c r="B13" s="260" t="s">
        <v>237</v>
      </c>
      <c r="C13" s="385" t="s">
        <v>924</v>
      </c>
      <c r="D13" s="9" t="s">
        <v>924</v>
      </c>
      <c r="E13" s="262" t="s">
        <v>955</v>
      </c>
      <c r="F13" s="267" t="s">
        <v>312</v>
      </c>
      <c r="G13" s="255" t="s">
        <v>312</v>
      </c>
      <c r="H13" s="7" t="s">
        <v>312</v>
      </c>
      <c r="I13" s="7" t="s">
        <v>312</v>
      </c>
      <c r="J13" s="7">
        <v>1</v>
      </c>
      <c r="K13" s="7" t="s">
        <v>312</v>
      </c>
      <c r="L13" s="7" t="s">
        <v>312</v>
      </c>
      <c r="M13" s="256" t="s">
        <v>312</v>
      </c>
      <c r="N13" s="264" t="s">
        <v>313</v>
      </c>
      <c r="O13" s="26"/>
      <c r="P13" s="26"/>
      <c r="Q13" s="26"/>
      <c r="R13" s="26"/>
      <c r="S13" s="26"/>
      <c r="T13" s="26"/>
    </row>
    <row r="14" spans="1:20" ht="30" x14ac:dyDescent="0.25">
      <c r="A14" s="26"/>
      <c r="B14" s="260" t="s">
        <v>238</v>
      </c>
      <c r="C14" s="385" t="s">
        <v>924</v>
      </c>
      <c r="D14" s="9" t="s">
        <v>924</v>
      </c>
      <c r="E14" s="262" t="s">
        <v>955</v>
      </c>
      <c r="F14" s="267" t="s">
        <v>312</v>
      </c>
      <c r="G14" s="255" t="s">
        <v>312</v>
      </c>
      <c r="H14" s="7" t="s">
        <v>312</v>
      </c>
      <c r="I14" s="7" t="s">
        <v>312</v>
      </c>
      <c r="J14" s="7">
        <v>1</v>
      </c>
      <c r="K14" s="7" t="s">
        <v>312</v>
      </c>
      <c r="L14" s="7" t="s">
        <v>312</v>
      </c>
      <c r="M14" s="256" t="s">
        <v>312</v>
      </c>
      <c r="N14" s="264" t="s">
        <v>313</v>
      </c>
      <c r="O14" s="26"/>
      <c r="P14" s="26"/>
      <c r="Q14" s="26"/>
      <c r="R14" s="26"/>
      <c r="S14" s="26"/>
      <c r="T14" s="26"/>
    </row>
    <row r="15" spans="1:20" ht="30" x14ac:dyDescent="0.25">
      <c r="A15" s="26"/>
      <c r="B15" s="260" t="s">
        <v>239</v>
      </c>
      <c r="C15" s="385" t="s">
        <v>924</v>
      </c>
      <c r="D15" s="9" t="s">
        <v>924</v>
      </c>
      <c r="E15" s="262" t="s">
        <v>314</v>
      </c>
      <c r="F15" s="267" t="s">
        <v>312</v>
      </c>
      <c r="G15" s="255" t="s">
        <v>312</v>
      </c>
      <c r="H15" s="7" t="s">
        <v>312</v>
      </c>
      <c r="I15" s="7" t="s">
        <v>312</v>
      </c>
      <c r="J15" s="7">
        <v>1</v>
      </c>
      <c r="K15" s="7" t="s">
        <v>312</v>
      </c>
      <c r="L15" s="7" t="s">
        <v>312</v>
      </c>
      <c r="M15" s="256" t="s">
        <v>312</v>
      </c>
      <c r="N15" s="264" t="s">
        <v>315</v>
      </c>
      <c r="O15" s="26"/>
      <c r="P15" s="26"/>
      <c r="Q15" s="26"/>
      <c r="R15" s="26"/>
      <c r="S15" s="26"/>
      <c r="T15" s="26"/>
    </row>
    <row r="16" spans="1:20" ht="30" x14ac:dyDescent="0.25">
      <c r="A16" s="26"/>
      <c r="B16" s="260" t="s">
        <v>240</v>
      </c>
      <c r="C16" s="385" t="s">
        <v>924</v>
      </c>
      <c r="D16" s="9" t="s">
        <v>924</v>
      </c>
      <c r="E16" s="262" t="s">
        <v>314</v>
      </c>
      <c r="F16" s="267" t="s">
        <v>312</v>
      </c>
      <c r="G16" s="255" t="s">
        <v>312</v>
      </c>
      <c r="H16" s="7" t="s">
        <v>312</v>
      </c>
      <c r="I16" s="7" t="s">
        <v>312</v>
      </c>
      <c r="J16" s="7">
        <v>1</v>
      </c>
      <c r="K16" s="7" t="s">
        <v>312</v>
      </c>
      <c r="L16" s="7" t="s">
        <v>312</v>
      </c>
      <c r="M16" s="256" t="s">
        <v>312</v>
      </c>
      <c r="N16" s="264" t="s">
        <v>315</v>
      </c>
      <c r="O16" s="26"/>
      <c r="P16" s="26"/>
      <c r="Q16" s="26"/>
      <c r="R16" s="26"/>
      <c r="S16" s="26"/>
      <c r="T16" s="26"/>
    </row>
    <row r="17" spans="1:20" x14ac:dyDescent="0.25">
      <c r="A17" s="26"/>
      <c r="B17" s="260" t="s">
        <v>241</v>
      </c>
      <c r="C17" s="255" t="s">
        <v>98</v>
      </c>
      <c r="D17" s="7" t="s">
        <v>318</v>
      </c>
      <c r="E17" s="256" t="s">
        <v>319</v>
      </c>
      <c r="F17" s="267" t="s">
        <v>310</v>
      </c>
      <c r="G17" s="255">
        <v>4</v>
      </c>
      <c r="H17" s="7">
        <v>7</v>
      </c>
      <c r="I17" s="7" t="s">
        <v>312</v>
      </c>
      <c r="J17" s="7" t="s">
        <v>312</v>
      </c>
      <c r="K17" s="7" t="s">
        <v>312</v>
      </c>
      <c r="L17" s="7">
        <v>10</v>
      </c>
      <c r="M17" s="256">
        <v>15</v>
      </c>
      <c r="N17" s="264" t="s">
        <v>320</v>
      </c>
      <c r="O17" s="26"/>
      <c r="P17" s="26"/>
      <c r="Q17" s="26"/>
      <c r="R17" s="26"/>
      <c r="S17" s="26"/>
      <c r="T17" s="26"/>
    </row>
    <row r="18" spans="1:20" x14ac:dyDescent="0.25">
      <c r="A18" s="26"/>
      <c r="B18" s="260" t="s">
        <v>242</v>
      </c>
      <c r="C18" s="255" t="s">
        <v>98</v>
      </c>
      <c r="D18" s="7" t="s">
        <v>318</v>
      </c>
      <c r="E18" s="256" t="s">
        <v>242</v>
      </c>
      <c r="F18" s="267" t="s">
        <v>310</v>
      </c>
      <c r="G18" s="255">
        <v>10</v>
      </c>
      <c r="H18" s="7">
        <v>15</v>
      </c>
      <c r="I18" s="7" t="s">
        <v>312</v>
      </c>
      <c r="J18" s="7" t="s">
        <v>312</v>
      </c>
      <c r="K18" s="7" t="s">
        <v>312</v>
      </c>
      <c r="L18" s="7">
        <v>10</v>
      </c>
      <c r="M18" s="256">
        <v>15</v>
      </c>
      <c r="N18" s="264" t="s">
        <v>317</v>
      </c>
      <c r="O18" s="26"/>
      <c r="P18" s="26"/>
      <c r="Q18" s="26"/>
      <c r="R18" s="26"/>
      <c r="S18" s="26"/>
      <c r="T18" s="26"/>
    </row>
    <row r="19" spans="1:20" x14ac:dyDescent="0.25">
      <c r="A19" s="26"/>
      <c r="B19" s="260" t="s">
        <v>243</v>
      </c>
      <c r="C19" s="255" t="s">
        <v>98</v>
      </c>
      <c r="D19" s="7" t="s">
        <v>318</v>
      </c>
      <c r="E19" s="256" t="s">
        <v>243</v>
      </c>
      <c r="F19" s="267" t="s">
        <v>310</v>
      </c>
      <c r="G19" s="255">
        <v>5</v>
      </c>
      <c r="H19" s="7">
        <v>10</v>
      </c>
      <c r="I19" s="7" t="s">
        <v>312</v>
      </c>
      <c r="J19" s="7" t="s">
        <v>312</v>
      </c>
      <c r="K19" s="7" t="s">
        <v>312</v>
      </c>
      <c r="L19" s="7">
        <v>10</v>
      </c>
      <c r="M19" s="256">
        <v>15</v>
      </c>
      <c r="N19" s="264" t="s">
        <v>317</v>
      </c>
      <c r="O19" s="26"/>
      <c r="P19" s="26"/>
      <c r="Q19" s="26"/>
      <c r="R19" s="26"/>
      <c r="S19" s="26"/>
      <c r="T19" s="26"/>
    </row>
    <row r="20" spans="1:20" x14ac:dyDescent="0.25">
      <c r="A20" s="26"/>
      <c r="B20" s="260" t="s">
        <v>244</v>
      </c>
      <c r="C20" s="255" t="s">
        <v>98</v>
      </c>
      <c r="D20" s="7" t="s">
        <v>318</v>
      </c>
      <c r="E20" s="256" t="s">
        <v>244</v>
      </c>
      <c r="F20" s="267" t="s">
        <v>310</v>
      </c>
      <c r="G20" s="255">
        <v>10</v>
      </c>
      <c r="H20" s="7">
        <v>15</v>
      </c>
      <c r="I20" s="7" t="s">
        <v>312</v>
      </c>
      <c r="J20" s="7" t="s">
        <v>312</v>
      </c>
      <c r="K20" s="7" t="s">
        <v>312</v>
      </c>
      <c r="L20" s="7">
        <v>10</v>
      </c>
      <c r="M20" s="256">
        <v>15</v>
      </c>
      <c r="N20" s="264" t="s">
        <v>317</v>
      </c>
      <c r="O20" s="26"/>
      <c r="P20" s="26"/>
      <c r="Q20" s="26"/>
      <c r="R20" s="26"/>
      <c r="S20" s="26"/>
      <c r="T20" s="26"/>
    </row>
    <row r="21" spans="1:20" x14ac:dyDescent="0.25">
      <c r="A21" s="26"/>
      <c r="B21" s="260" t="s">
        <v>245</v>
      </c>
      <c r="C21" s="255" t="s">
        <v>98</v>
      </c>
      <c r="D21" s="7" t="s">
        <v>318</v>
      </c>
      <c r="E21" s="256" t="s">
        <v>245</v>
      </c>
      <c r="F21" s="267" t="s">
        <v>310</v>
      </c>
      <c r="G21" s="255">
        <v>5</v>
      </c>
      <c r="H21" s="7">
        <v>10</v>
      </c>
      <c r="I21" s="7" t="s">
        <v>312</v>
      </c>
      <c r="J21" s="7" t="s">
        <v>312</v>
      </c>
      <c r="K21" s="7" t="s">
        <v>312</v>
      </c>
      <c r="L21" s="7">
        <v>3</v>
      </c>
      <c r="M21" s="256">
        <v>10</v>
      </c>
      <c r="N21" s="264" t="s">
        <v>317</v>
      </c>
      <c r="O21" s="26"/>
      <c r="P21" s="26"/>
      <c r="Q21" s="26"/>
      <c r="R21" s="26"/>
      <c r="S21" s="26"/>
      <c r="T21" s="26"/>
    </row>
    <row r="22" spans="1:20" ht="30" x14ac:dyDescent="0.25">
      <c r="A22" s="26"/>
      <c r="B22" s="260" t="s">
        <v>246</v>
      </c>
      <c r="C22" s="385" t="s">
        <v>924</v>
      </c>
      <c r="D22" s="9" t="s">
        <v>924</v>
      </c>
      <c r="E22" s="256" t="s">
        <v>946</v>
      </c>
      <c r="F22" s="267" t="s">
        <v>312</v>
      </c>
      <c r="G22" s="255" t="s">
        <v>312</v>
      </c>
      <c r="H22" s="7" t="s">
        <v>312</v>
      </c>
      <c r="I22" s="7" t="s">
        <v>312</v>
      </c>
      <c r="J22" s="7">
        <v>1</v>
      </c>
      <c r="K22" s="7" t="s">
        <v>312</v>
      </c>
      <c r="L22" s="7" t="s">
        <v>312</v>
      </c>
      <c r="M22" s="256" t="s">
        <v>312</v>
      </c>
      <c r="N22" s="264" t="s">
        <v>1001</v>
      </c>
      <c r="O22" s="26"/>
      <c r="P22" s="26"/>
      <c r="Q22" s="26"/>
      <c r="R22" s="26"/>
      <c r="S22" s="26"/>
      <c r="T22" s="26"/>
    </row>
    <row r="23" spans="1:20" x14ac:dyDescent="0.25">
      <c r="A23" s="26"/>
      <c r="B23" s="260" t="s">
        <v>247</v>
      </c>
      <c r="C23" s="255" t="s">
        <v>98</v>
      </c>
      <c r="D23" s="7" t="s">
        <v>318</v>
      </c>
      <c r="E23" s="256" t="s">
        <v>247</v>
      </c>
      <c r="F23" s="267" t="s">
        <v>310</v>
      </c>
      <c r="G23" s="255">
        <v>5</v>
      </c>
      <c r="H23" s="7">
        <v>10</v>
      </c>
      <c r="I23" s="7" t="s">
        <v>312</v>
      </c>
      <c r="J23" s="7" t="s">
        <v>312</v>
      </c>
      <c r="K23" s="7" t="s">
        <v>312</v>
      </c>
      <c r="L23" s="7">
        <v>3</v>
      </c>
      <c r="M23" s="256">
        <v>10</v>
      </c>
      <c r="N23" s="264" t="s">
        <v>317</v>
      </c>
      <c r="O23" s="26"/>
      <c r="P23" s="26"/>
      <c r="Q23" s="26"/>
      <c r="R23" s="26"/>
      <c r="S23" s="26"/>
      <c r="T23" s="26"/>
    </row>
    <row r="24" spans="1:20" x14ac:dyDescent="0.25">
      <c r="A24" s="26"/>
      <c r="B24" s="260" t="s">
        <v>248</v>
      </c>
      <c r="C24" s="255" t="s">
        <v>98</v>
      </c>
      <c r="D24" s="7" t="s">
        <v>318</v>
      </c>
      <c r="E24" s="256" t="s">
        <v>248</v>
      </c>
      <c r="F24" s="267" t="s">
        <v>310</v>
      </c>
      <c r="G24" s="255">
        <v>5</v>
      </c>
      <c r="H24" s="7">
        <v>10</v>
      </c>
      <c r="I24" s="7" t="s">
        <v>312</v>
      </c>
      <c r="J24" s="7" t="s">
        <v>312</v>
      </c>
      <c r="K24" s="7" t="s">
        <v>312</v>
      </c>
      <c r="L24" s="7">
        <v>3</v>
      </c>
      <c r="M24" s="256">
        <v>10</v>
      </c>
      <c r="N24" s="264" t="s">
        <v>317</v>
      </c>
      <c r="O24" s="26"/>
      <c r="P24" s="26"/>
      <c r="Q24" s="26"/>
      <c r="R24" s="26"/>
      <c r="S24" s="26"/>
      <c r="T24" s="26"/>
    </row>
    <row r="25" spans="1:20" x14ac:dyDescent="0.25">
      <c r="A25" s="26"/>
      <c r="B25" s="260" t="s">
        <v>249</v>
      </c>
      <c r="C25" s="255" t="s">
        <v>98</v>
      </c>
      <c r="D25" s="7" t="s">
        <v>318</v>
      </c>
      <c r="E25" s="256" t="s">
        <v>249</v>
      </c>
      <c r="F25" s="267" t="s">
        <v>310</v>
      </c>
      <c r="G25" s="255">
        <v>10</v>
      </c>
      <c r="H25" s="7">
        <v>15</v>
      </c>
      <c r="I25" s="7" t="s">
        <v>312</v>
      </c>
      <c r="J25" s="7" t="s">
        <v>312</v>
      </c>
      <c r="K25" s="7" t="s">
        <v>312</v>
      </c>
      <c r="L25" s="7">
        <v>7</v>
      </c>
      <c r="M25" s="256">
        <v>15</v>
      </c>
      <c r="N25" s="264" t="s">
        <v>317</v>
      </c>
      <c r="O25" s="26"/>
      <c r="P25" s="26"/>
      <c r="Q25" s="26"/>
      <c r="R25" s="26"/>
      <c r="S25" s="26"/>
      <c r="T25" s="26"/>
    </row>
    <row r="26" spans="1:20" x14ac:dyDescent="0.25">
      <c r="A26" s="26"/>
      <c r="B26" s="260" t="s">
        <v>250</v>
      </c>
      <c r="C26" s="255" t="s">
        <v>98</v>
      </c>
      <c r="D26" s="7" t="s">
        <v>318</v>
      </c>
      <c r="E26" s="256" t="s">
        <v>250</v>
      </c>
      <c r="F26" s="267" t="s">
        <v>310</v>
      </c>
      <c r="G26" s="255">
        <v>5</v>
      </c>
      <c r="H26" s="7">
        <v>10</v>
      </c>
      <c r="I26" s="7" t="s">
        <v>312</v>
      </c>
      <c r="J26" s="7" t="s">
        <v>312</v>
      </c>
      <c r="K26" s="7" t="s">
        <v>312</v>
      </c>
      <c r="L26" s="7">
        <v>3</v>
      </c>
      <c r="M26" s="256">
        <v>10</v>
      </c>
      <c r="N26" s="264" t="s">
        <v>317</v>
      </c>
      <c r="O26" s="26"/>
      <c r="P26" s="26"/>
      <c r="Q26" s="26"/>
      <c r="R26" s="26"/>
      <c r="S26" s="26"/>
      <c r="T26" s="26"/>
    </row>
    <row r="27" spans="1:20" ht="30" x14ac:dyDescent="0.25">
      <c r="A27" s="26"/>
      <c r="B27" s="260" t="s">
        <v>251</v>
      </c>
      <c r="C27" s="385" t="s">
        <v>924</v>
      </c>
      <c r="D27" s="9" t="s">
        <v>924</v>
      </c>
      <c r="E27" s="256" t="s">
        <v>946</v>
      </c>
      <c r="F27" s="267" t="s">
        <v>312</v>
      </c>
      <c r="G27" s="255" t="s">
        <v>312</v>
      </c>
      <c r="H27" s="7" t="s">
        <v>312</v>
      </c>
      <c r="I27" s="7" t="s">
        <v>312</v>
      </c>
      <c r="J27" s="7">
        <v>1</v>
      </c>
      <c r="K27" s="7" t="s">
        <v>312</v>
      </c>
      <c r="L27" s="7" t="s">
        <v>312</v>
      </c>
      <c r="M27" s="256" t="s">
        <v>312</v>
      </c>
      <c r="N27" s="264" t="s">
        <v>1001</v>
      </c>
      <c r="O27" s="26"/>
      <c r="P27" s="26"/>
      <c r="Q27" s="26"/>
      <c r="R27" s="26"/>
      <c r="S27" s="26"/>
      <c r="T27" s="26"/>
    </row>
    <row r="28" spans="1:20" ht="30" x14ac:dyDescent="0.25">
      <c r="A28" s="26"/>
      <c r="B28" s="260" t="s">
        <v>930</v>
      </c>
      <c r="C28" s="385" t="s">
        <v>924</v>
      </c>
      <c r="D28" s="9" t="s">
        <v>924</v>
      </c>
      <c r="E28" s="256" t="s">
        <v>946</v>
      </c>
      <c r="F28" s="267" t="s">
        <v>312</v>
      </c>
      <c r="G28" s="255" t="s">
        <v>312</v>
      </c>
      <c r="H28" s="7" t="s">
        <v>312</v>
      </c>
      <c r="I28" s="7" t="s">
        <v>312</v>
      </c>
      <c r="J28" s="7">
        <v>1</v>
      </c>
      <c r="K28" s="7" t="s">
        <v>312</v>
      </c>
      <c r="L28" s="7" t="s">
        <v>312</v>
      </c>
      <c r="M28" s="256" t="s">
        <v>312</v>
      </c>
      <c r="N28" s="264" t="s">
        <v>1001</v>
      </c>
      <c r="O28" s="26"/>
      <c r="P28" s="26"/>
      <c r="Q28" s="26"/>
      <c r="R28" s="26"/>
      <c r="S28" s="26"/>
      <c r="T28" s="26"/>
    </row>
    <row r="29" spans="1:20" x14ac:dyDescent="0.25">
      <c r="A29" s="26"/>
      <c r="B29" s="260" t="s">
        <v>940</v>
      </c>
      <c r="C29" s="255" t="s">
        <v>98</v>
      </c>
      <c r="D29" s="7" t="s">
        <v>318</v>
      </c>
      <c r="E29" s="256" t="s">
        <v>940</v>
      </c>
      <c r="F29" s="267" t="s">
        <v>310</v>
      </c>
      <c r="G29" s="255">
        <v>5</v>
      </c>
      <c r="H29" s="7">
        <v>10</v>
      </c>
      <c r="I29" s="7" t="s">
        <v>312</v>
      </c>
      <c r="J29" s="7" t="s">
        <v>312</v>
      </c>
      <c r="K29" s="7" t="s">
        <v>312</v>
      </c>
      <c r="L29" s="7">
        <v>3</v>
      </c>
      <c r="M29" s="256">
        <v>10</v>
      </c>
      <c r="N29" s="264" t="s">
        <v>317</v>
      </c>
      <c r="O29" s="26"/>
      <c r="P29" s="26"/>
      <c r="Q29" s="26"/>
      <c r="R29" s="26"/>
      <c r="S29" s="26"/>
      <c r="T29" s="26"/>
    </row>
    <row r="30" spans="1:20" x14ac:dyDescent="0.25">
      <c r="A30" s="26"/>
      <c r="B30" s="260" t="s">
        <v>253</v>
      </c>
      <c r="C30" s="255" t="s">
        <v>98</v>
      </c>
      <c r="D30" s="7" t="s">
        <v>318</v>
      </c>
      <c r="E30" s="256" t="s">
        <v>961</v>
      </c>
      <c r="F30" s="267" t="s">
        <v>310</v>
      </c>
      <c r="G30" s="255">
        <v>3</v>
      </c>
      <c r="H30" s="7">
        <v>5</v>
      </c>
      <c r="I30" s="7" t="s">
        <v>312</v>
      </c>
      <c r="J30" s="7" t="s">
        <v>312</v>
      </c>
      <c r="K30" s="7" t="s">
        <v>312</v>
      </c>
      <c r="L30" s="7">
        <v>4</v>
      </c>
      <c r="M30" s="256">
        <v>5</v>
      </c>
      <c r="N30" s="264" t="s">
        <v>1002</v>
      </c>
      <c r="O30" s="26"/>
      <c r="P30" s="26"/>
      <c r="Q30" s="26"/>
      <c r="R30" s="26"/>
      <c r="S30" s="26"/>
      <c r="T30" s="26"/>
    </row>
    <row r="31" spans="1:20" x14ac:dyDescent="0.25">
      <c r="A31" s="26"/>
      <c r="B31" s="260" t="s">
        <v>931</v>
      </c>
      <c r="C31" s="255" t="s">
        <v>98</v>
      </c>
      <c r="D31" s="7" t="s">
        <v>318</v>
      </c>
      <c r="E31" s="256" t="s">
        <v>931</v>
      </c>
      <c r="F31" s="267" t="s">
        <v>310</v>
      </c>
      <c r="G31" s="255">
        <v>3</v>
      </c>
      <c r="H31" s="7">
        <v>5</v>
      </c>
      <c r="I31" s="7" t="s">
        <v>312</v>
      </c>
      <c r="J31" s="7" t="s">
        <v>312</v>
      </c>
      <c r="K31" s="7" t="s">
        <v>312</v>
      </c>
      <c r="L31" s="7">
        <v>4</v>
      </c>
      <c r="M31" s="256">
        <v>5</v>
      </c>
      <c r="N31" s="264" t="s">
        <v>317</v>
      </c>
      <c r="O31" s="26"/>
      <c r="P31" s="26"/>
      <c r="Q31" s="26"/>
      <c r="R31" s="26"/>
      <c r="S31" s="26"/>
      <c r="T31" s="26"/>
    </row>
    <row r="32" spans="1:20" x14ac:dyDescent="0.25">
      <c r="A32" s="26"/>
      <c r="B32" s="260" t="s">
        <v>256</v>
      </c>
      <c r="C32" s="255" t="s">
        <v>98</v>
      </c>
      <c r="D32" s="7" t="s">
        <v>318</v>
      </c>
      <c r="E32" s="256" t="s">
        <v>256</v>
      </c>
      <c r="F32" s="267" t="s">
        <v>310</v>
      </c>
      <c r="G32" s="255">
        <v>5</v>
      </c>
      <c r="H32" s="7">
        <v>10</v>
      </c>
      <c r="I32" s="7" t="s">
        <v>312</v>
      </c>
      <c r="J32" s="7" t="s">
        <v>312</v>
      </c>
      <c r="K32" s="7" t="s">
        <v>312</v>
      </c>
      <c r="L32" s="7">
        <v>20</v>
      </c>
      <c r="M32" s="256">
        <v>10</v>
      </c>
      <c r="N32" s="264" t="s">
        <v>317</v>
      </c>
      <c r="O32" s="26"/>
      <c r="P32" s="26"/>
      <c r="Q32" s="26"/>
      <c r="R32" s="26"/>
      <c r="S32" s="26"/>
      <c r="T32" s="26"/>
    </row>
    <row r="33" spans="1:20" x14ac:dyDescent="0.25">
      <c r="A33" s="26"/>
      <c r="B33" s="260" t="s">
        <v>257</v>
      </c>
      <c r="C33" s="255" t="s">
        <v>98</v>
      </c>
      <c r="D33" s="7" t="s">
        <v>318</v>
      </c>
      <c r="E33" s="256" t="s">
        <v>257</v>
      </c>
      <c r="F33" s="267" t="s">
        <v>310</v>
      </c>
      <c r="G33" s="255">
        <v>3</v>
      </c>
      <c r="H33" s="7">
        <v>5</v>
      </c>
      <c r="I33" s="7" t="s">
        <v>312</v>
      </c>
      <c r="J33" s="7" t="s">
        <v>312</v>
      </c>
      <c r="K33" s="7" t="s">
        <v>312</v>
      </c>
      <c r="L33" s="7">
        <v>2</v>
      </c>
      <c r="M33" s="256" t="s">
        <v>312</v>
      </c>
      <c r="N33" s="264" t="s">
        <v>317</v>
      </c>
      <c r="O33" s="26"/>
      <c r="P33" s="26"/>
      <c r="Q33" s="26"/>
      <c r="R33" s="26"/>
      <c r="S33" s="26"/>
      <c r="T33" s="26"/>
    </row>
    <row r="34" spans="1:20" x14ac:dyDescent="0.25">
      <c r="A34" s="26"/>
      <c r="B34" s="260" t="s">
        <v>258</v>
      </c>
      <c r="C34" s="255" t="s">
        <v>98</v>
      </c>
      <c r="D34" s="7" t="s">
        <v>318</v>
      </c>
      <c r="E34" s="256" t="s">
        <v>258</v>
      </c>
      <c r="F34" s="267" t="s">
        <v>310</v>
      </c>
      <c r="G34" s="255">
        <v>10</v>
      </c>
      <c r="H34" s="7">
        <v>20</v>
      </c>
      <c r="I34" s="7" t="s">
        <v>312</v>
      </c>
      <c r="J34" s="7" t="s">
        <v>312</v>
      </c>
      <c r="K34" s="7" t="s">
        <v>312</v>
      </c>
      <c r="L34" s="7">
        <v>10</v>
      </c>
      <c r="M34" s="256">
        <v>20</v>
      </c>
      <c r="N34" s="264" t="s">
        <v>317</v>
      </c>
      <c r="O34" s="26"/>
      <c r="P34" s="26"/>
      <c r="Q34" s="26"/>
      <c r="R34" s="26"/>
      <c r="S34" s="26"/>
      <c r="T34" s="26"/>
    </row>
    <row r="35" spans="1:20" x14ac:dyDescent="0.25">
      <c r="A35" s="26"/>
      <c r="B35" s="260" t="s">
        <v>941</v>
      </c>
      <c r="C35" s="255" t="s">
        <v>98</v>
      </c>
      <c r="D35" s="7" t="s">
        <v>318</v>
      </c>
      <c r="E35" s="260" t="s">
        <v>941</v>
      </c>
      <c r="F35" s="267" t="s">
        <v>310</v>
      </c>
      <c r="G35" s="255">
        <v>3</v>
      </c>
      <c r="H35" s="7">
        <v>5</v>
      </c>
      <c r="I35" s="7" t="s">
        <v>312</v>
      </c>
      <c r="J35" s="7" t="s">
        <v>312</v>
      </c>
      <c r="K35" s="7" t="s">
        <v>312</v>
      </c>
      <c r="L35" s="7">
        <v>2</v>
      </c>
      <c r="M35" s="256" t="s">
        <v>312</v>
      </c>
      <c r="N35" s="264" t="s">
        <v>317</v>
      </c>
      <c r="O35" s="26"/>
      <c r="P35" s="26"/>
      <c r="Q35" s="26"/>
      <c r="R35" s="26"/>
      <c r="S35" s="26"/>
      <c r="T35" s="26"/>
    </row>
    <row r="36" spans="1:20" x14ac:dyDescent="0.25">
      <c r="A36" s="26"/>
      <c r="B36" s="260" t="s">
        <v>259</v>
      </c>
      <c r="C36" s="255" t="s">
        <v>98</v>
      </c>
      <c r="D36" s="7" t="s">
        <v>318</v>
      </c>
      <c r="E36" s="256" t="s">
        <v>259</v>
      </c>
      <c r="F36" s="267" t="s">
        <v>310</v>
      </c>
      <c r="G36" s="255">
        <v>1</v>
      </c>
      <c r="H36" s="7">
        <v>1</v>
      </c>
      <c r="I36" s="7" t="s">
        <v>312</v>
      </c>
      <c r="J36" s="7" t="s">
        <v>312</v>
      </c>
      <c r="K36" s="7" t="s">
        <v>312</v>
      </c>
      <c r="L36" s="7">
        <v>1</v>
      </c>
      <c r="M36" s="256">
        <v>1</v>
      </c>
      <c r="N36" s="264" t="s">
        <v>317</v>
      </c>
      <c r="O36" s="26"/>
      <c r="P36" s="26"/>
      <c r="Q36" s="26"/>
      <c r="R36" s="26"/>
      <c r="S36" s="26"/>
      <c r="T36" s="26"/>
    </row>
    <row r="37" spans="1:20" x14ac:dyDescent="0.25">
      <c r="A37" s="26"/>
      <c r="B37" s="260" t="s">
        <v>260</v>
      </c>
      <c r="C37" s="255" t="s">
        <v>321</v>
      </c>
      <c r="D37" s="7" t="s">
        <v>321</v>
      </c>
      <c r="E37" s="262" t="s">
        <v>311</v>
      </c>
      <c r="F37" s="267" t="s">
        <v>312</v>
      </c>
      <c r="G37" s="255" t="s">
        <v>312</v>
      </c>
      <c r="H37" s="7" t="s">
        <v>312</v>
      </c>
      <c r="I37" s="7" t="s">
        <v>312</v>
      </c>
      <c r="J37" s="7" t="s">
        <v>312</v>
      </c>
      <c r="K37" s="7">
        <v>0</v>
      </c>
      <c r="L37" s="7" t="s">
        <v>312</v>
      </c>
      <c r="M37" s="256" t="s">
        <v>312</v>
      </c>
      <c r="N37" s="264" t="s">
        <v>311</v>
      </c>
      <c r="O37" s="26"/>
      <c r="P37" s="26"/>
      <c r="Q37" s="26"/>
      <c r="R37" s="26"/>
      <c r="S37" s="26"/>
      <c r="T37" s="26"/>
    </row>
    <row r="38" spans="1:20" x14ac:dyDescent="0.25">
      <c r="A38" s="26"/>
      <c r="B38" s="260" t="s">
        <v>263</v>
      </c>
      <c r="C38" s="255" t="s">
        <v>98</v>
      </c>
      <c r="D38" s="7" t="s">
        <v>318</v>
      </c>
      <c r="E38" s="256" t="s">
        <v>263</v>
      </c>
      <c r="F38" s="267" t="s">
        <v>310</v>
      </c>
      <c r="G38" s="255">
        <v>1</v>
      </c>
      <c r="H38" s="7">
        <v>3</v>
      </c>
      <c r="I38" s="7" t="s">
        <v>312</v>
      </c>
      <c r="J38" s="7" t="s">
        <v>312</v>
      </c>
      <c r="K38" s="7" t="s">
        <v>312</v>
      </c>
      <c r="L38" s="7">
        <v>2</v>
      </c>
      <c r="M38" s="256">
        <v>3</v>
      </c>
      <c r="N38" s="264" t="s">
        <v>317</v>
      </c>
      <c r="O38" s="26"/>
      <c r="P38" s="26"/>
      <c r="Q38" s="26"/>
      <c r="R38" s="26"/>
      <c r="S38" s="26"/>
      <c r="T38" s="26"/>
    </row>
    <row r="39" spans="1:20" x14ac:dyDescent="0.25">
      <c r="A39" s="26"/>
      <c r="B39" s="260" t="s">
        <v>264</v>
      </c>
      <c r="C39" s="255" t="s">
        <v>98</v>
      </c>
      <c r="D39" s="7" t="s">
        <v>318</v>
      </c>
      <c r="E39" s="256" t="s">
        <v>264</v>
      </c>
      <c r="F39" s="267" t="s">
        <v>310</v>
      </c>
      <c r="G39" s="255">
        <v>5</v>
      </c>
      <c r="H39" s="7">
        <v>10</v>
      </c>
      <c r="I39" s="7" t="s">
        <v>312</v>
      </c>
      <c r="J39" s="7" t="s">
        <v>312</v>
      </c>
      <c r="K39" s="7" t="s">
        <v>312</v>
      </c>
      <c r="L39" s="7">
        <v>5</v>
      </c>
      <c r="M39" s="256">
        <v>10</v>
      </c>
      <c r="N39" s="264" t="s">
        <v>317</v>
      </c>
      <c r="O39" s="26"/>
      <c r="P39" s="26"/>
      <c r="Q39" s="26"/>
      <c r="R39" s="26"/>
      <c r="S39" s="26"/>
      <c r="T39" s="26"/>
    </row>
    <row r="40" spans="1:20" x14ac:dyDescent="0.25">
      <c r="A40" s="26"/>
      <c r="B40" s="260" t="s">
        <v>265</v>
      </c>
      <c r="C40" s="255" t="s">
        <v>321</v>
      </c>
      <c r="D40" s="7" t="s">
        <v>321</v>
      </c>
      <c r="E40" s="262" t="s">
        <v>311</v>
      </c>
      <c r="F40" s="267" t="s">
        <v>312</v>
      </c>
      <c r="G40" s="255" t="s">
        <v>312</v>
      </c>
      <c r="H40" s="7" t="s">
        <v>312</v>
      </c>
      <c r="I40" s="7" t="s">
        <v>312</v>
      </c>
      <c r="J40" s="7" t="s">
        <v>312</v>
      </c>
      <c r="K40" s="7">
        <v>0</v>
      </c>
      <c r="L40" s="7" t="s">
        <v>312</v>
      </c>
      <c r="M40" s="256" t="s">
        <v>312</v>
      </c>
      <c r="N40" s="264" t="s">
        <v>311</v>
      </c>
      <c r="O40" s="26"/>
      <c r="P40" s="26"/>
      <c r="Q40" s="26"/>
      <c r="R40" s="26"/>
      <c r="S40" s="26"/>
      <c r="T40" s="26"/>
    </row>
    <row r="41" spans="1:20" x14ac:dyDescent="0.25">
      <c r="A41" s="26"/>
      <c r="B41" s="260" t="s">
        <v>266</v>
      </c>
      <c r="C41" s="255" t="s">
        <v>98</v>
      </c>
      <c r="D41" s="7" t="s">
        <v>318</v>
      </c>
      <c r="E41" s="256" t="s">
        <v>266</v>
      </c>
      <c r="F41" s="267" t="s">
        <v>310</v>
      </c>
      <c r="G41" s="255">
        <v>15</v>
      </c>
      <c r="H41" s="7">
        <v>20</v>
      </c>
      <c r="I41" s="7" t="s">
        <v>312</v>
      </c>
      <c r="J41" s="7" t="s">
        <v>312</v>
      </c>
      <c r="K41" s="7" t="s">
        <v>312</v>
      </c>
      <c r="L41" s="7">
        <v>15</v>
      </c>
      <c r="M41" s="256">
        <v>20</v>
      </c>
      <c r="N41" s="264" t="s">
        <v>317</v>
      </c>
      <c r="O41" s="26"/>
      <c r="P41" s="26"/>
      <c r="Q41" s="26"/>
      <c r="R41" s="26"/>
      <c r="S41" s="26"/>
      <c r="T41" s="26"/>
    </row>
    <row r="42" spans="1:20" x14ac:dyDescent="0.25">
      <c r="A42" s="26"/>
      <c r="B42" s="260" t="s">
        <v>267</v>
      </c>
      <c r="C42" s="255" t="s">
        <v>321</v>
      </c>
      <c r="D42" s="7" t="s">
        <v>321</v>
      </c>
      <c r="E42" s="262" t="s">
        <v>311</v>
      </c>
      <c r="F42" s="267" t="s">
        <v>312</v>
      </c>
      <c r="G42" s="255" t="s">
        <v>312</v>
      </c>
      <c r="H42" s="7" t="s">
        <v>312</v>
      </c>
      <c r="I42" s="7" t="s">
        <v>312</v>
      </c>
      <c r="J42" s="7" t="s">
        <v>312</v>
      </c>
      <c r="K42" s="7">
        <v>0</v>
      </c>
      <c r="L42" s="7" t="s">
        <v>312</v>
      </c>
      <c r="M42" s="256" t="s">
        <v>312</v>
      </c>
      <c r="N42" s="264" t="s">
        <v>311</v>
      </c>
      <c r="O42" s="26"/>
      <c r="P42" s="26"/>
      <c r="Q42" s="26"/>
      <c r="R42" s="26"/>
      <c r="S42" s="26"/>
      <c r="T42" s="26"/>
    </row>
    <row r="43" spans="1:20" ht="30" x14ac:dyDescent="0.25">
      <c r="A43" s="26"/>
      <c r="B43" s="260" t="s">
        <v>272</v>
      </c>
      <c r="C43" s="385" t="s">
        <v>924</v>
      </c>
      <c r="D43" s="9" t="s">
        <v>924</v>
      </c>
      <c r="E43" s="262" t="s">
        <v>311</v>
      </c>
      <c r="F43" s="267" t="s">
        <v>312</v>
      </c>
      <c r="G43" s="255" t="s">
        <v>312</v>
      </c>
      <c r="H43" s="7" t="s">
        <v>312</v>
      </c>
      <c r="I43" s="7" t="s">
        <v>312</v>
      </c>
      <c r="J43" s="7">
        <v>1</v>
      </c>
      <c r="K43" s="7" t="s">
        <v>312</v>
      </c>
      <c r="L43" s="7">
        <v>2</v>
      </c>
      <c r="M43" s="256">
        <v>5</v>
      </c>
      <c r="N43" s="264" t="s">
        <v>317</v>
      </c>
      <c r="O43" s="26"/>
      <c r="P43" s="26"/>
      <c r="Q43" s="26"/>
      <c r="R43" s="26"/>
      <c r="S43" s="26"/>
      <c r="T43" s="26"/>
    </row>
    <row r="44" spans="1:20" x14ac:dyDescent="0.25">
      <c r="A44" s="26"/>
      <c r="B44" s="260" t="s">
        <v>269</v>
      </c>
      <c r="C44" s="255" t="s">
        <v>98</v>
      </c>
      <c r="D44" s="7" t="s">
        <v>318</v>
      </c>
      <c r="E44" s="256" t="s">
        <v>269</v>
      </c>
      <c r="F44" s="267" t="s">
        <v>310</v>
      </c>
      <c r="G44" s="255">
        <v>3</v>
      </c>
      <c r="H44" s="7">
        <v>5</v>
      </c>
      <c r="I44" s="7" t="s">
        <v>312</v>
      </c>
      <c r="J44" s="7" t="s">
        <v>312</v>
      </c>
      <c r="K44" s="7" t="s">
        <v>312</v>
      </c>
      <c r="L44" s="7">
        <v>2</v>
      </c>
      <c r="M44" s="256">
        <v>5</v>
      </c>
      <c r="N44" s="264" t="s">
        <v>317</v>
      </c>
      <c r="O44" s="26"/>
      <c r="P44" s="26"/>
      <c r="Q44" s="26"/>
      <c r="R44" s="26"/>
      <c r="S44" s="26"/>
      <c r="T44" s="26"/>
    </row>
    <row r="45" spans="1:20" x14ac:dyDescent="0.25">
      <c r="A45" s="26"/>
      <c r="B45" s="260" t="s">
        <v>270</v>
      </c>
      <c r="C45" s="255" t="s">
        <v>98</v>
      </c>
      <c r="D45" s="7" t="s">
        <v>318</v>
      </c>
      <c r="E45" s="256" t="s">
        <v>270</v>
      </c>
      <c r="F45" s="267" t="s">
        <v>310</v>
      </c>
      <c r="G45" s="255">
        <v>3</v>
      </c>
      <c r="H45" s="7">
        <v>5</v>
      </c>
      <c r="I45" s="7" t="s">
        <v>312</v>
      </c>
      <c r="J45" s="7" t="s">
        <v>312</v>
      </c>
      <c r="K45" s="7" t="s">
        <v>312</v>
      </c>
      <c r="L45" s="7">
        <v>2</v>
      </c>
      <c r="M45" s="256">
        <v>5</v>
      </c>
      <c r="N45" s="264" t="s">
        <v>317</v>
      </c>
      <c r="O45" s="26"/>
      <c r="P45" s="26"/>
      <c r="Q45" s="26"/>
      <c r="R45" s="26"/>
      <c r="S45" s="26"/>
      <c r="T45" s="26"/>
    </row>
    <row r="46" spans="1:20" ht="30" x14ac:dyDescent="0.25">
      <c r="A46" s="26"/>
      <c r="B46" s="260" t="s">
        <v>271</v>
      </c>
      <c r="C46" s="385" t="s">
        <v>924</v>
      </c>
      <c r="D46" s="9" t="s">
        <v>924</v>
      </c>
      <c r="E46" s="262" t="s">
        <v>311</v>
      </c>
      <c r="F46" s="267" t="s">
        <v>312</v>
      </c>
      <c r="G46" s="255" t="s">
        <v>312</v>
      </c>
      <c r="H46" s="7" t="s">
        <v>312</v>
      </c>
      <c r="I46" s="7" t="s">
        <v>312</v>
      </c>
      <c r="J46" s="7">
        <v>1</v>
      </c>
      <c r="K46" s="7" t="s">
        <v>312</v>
      </c>
      <c r="L46" s="7" t="s">
        <v>312</v>
      </c>
      <c r="M46" s="256" t="s">
        <v>312</v>
      </c>
      <c r="N46" s="264" t="s">
        <v>311</v>
      </c>
      <c r="O46" s="26"/>
      <c r="P46" s="26"/>
      <c r="Q46" s="26"/>
      <c r="R46" s="26"/>
      <c r="S46" s="26"/>
      <c r="T46" s="26"/>
    </row>
    <row r="47" spans="1:20" x14ac:dyDescent="0.25">
      <c r="A47" s="26"/>
      <c r="B47" s="260" t="s">
        <v>268</v>
      </c>
      <c r="C47" s="255" t="s">
        <v>98</v>
      </c>
      <c r="D47" s="7" t="s">
        <v>318</v>
      </c>
      <c r="E47" s="256" t="s">
        <v>913</v>
      </c>
      <c r="F47" s="267" t="s">
        <v>310</v>
      </c>
      <c r="G47" s="255">
        <v>3</v>
      </c>
      <c r="H47" s="7">
        <v>5</v>
      </c>
      <c r="I47" s="7" t="s">
        <v>312</v>
      </c>
      <c r="J47" s="7" t="s">
        <v>312</v>
      </c>
      <c r="K47" s="7" t="s">
        <v>312</v>
      </c>
      <c r="L47" s="7">
        <v>5</v>
      </c>
      <c r="M47" s="256">
        <v>10</v>
      </c>
      <c r="N47" s="264" t="s">
        <v>965</v>
      </c>
      <c r="O47" s="26"/>
      <c r="P47" s="26"/>
      <c r="Q47" s="26"/>
      <c r="R47" s="26"/>
      <c r="S47" s="26"/>
      <c r="T47" s="26"/>
    </row>
    <row r="48" spans="1:20" ht="30" x14ac:dyDescent="0.25">
      <c r="A48" s="26"/>
      <c r="B48" s="260" t="s">
        <v>273</v>
      </c>
      <c r="C48" s="385" t="s">
        <v>924</v>
      </c>
      <c r="D48" s="9" t="s">
        <v>924</v>
      </c>
      <c r="E48" s="262" t="s">
        <v>311</v>
      </c>
      <c r="F48" s="267" t="s">
        <v>312</v>
      </c>
      <c r="G48" s="255" t="s">
        <v>312</v>
      </c>
      <c r="H48" s="7" t="s">
        <v>312</v>
      </c>
      <c r="I48" s="7" t="s">
        <v>312</v>
      </c>
      <c r="J48" s="7">
        <v>1</v>
      </c>
      <c r="K48" s="7" t="s">
        <v>312</v>
      </c>
      <c r="L48" s="7" t="s">
        <v>312</v>
      </c>
      <c r="M48" s="256" t="s">
        <v>312</v>
      </c>
      <c r="N48" s="264" t="s">
        <v>311</v>
      </c>
      <c r="O48" s="26"/>
      <c r="P48" s="26"/>
      <c r="Q48" s="26"/>
      <c r="R48" s="26"/>
      <c r="S48" s="26"/>
      <c r="T48" s="26"/>
    </row>
    <row r="49" spans="1:20" x14ac:dyDescent="0.25">
      <c r="A49" s="26"/>
      <c r="B49" s="260" t="s">
        <v>274</v>
      </c>
      <c r="C49" s="255" t="s">
        <v>98</v>
      </c>
      <c r="D49" s="7" t="s">
        <v>318</v>
      </c>
      <c r="E49" s="256" t="s">
        <v>274</v>
      </c>
      <c r="F49" s="267" t="s">
        <v>310</v>
      </c>
      <c r="G49" s="255">
        <v>3</v>
      </c>
      <c r="H49" s="7">
        <v>5</v>
      </c>
      <c r="I49" s="7" t="s">
        <v>312</v>
      </c>
      <c r="J49" s="7" t="s">
        <v>312</v>
      </c>
      <c r="K49" s="7" t="s">
        <v>312</v>
      </c>
      <c r="L49" s="7">
        <v>1</v>
      </c>
      <c r="M49" s="256">
        <v>1</v>
      </c>
      <c r="N49" s="264" t="s">
        <v>317</v>
      </c>
      <c r="O49" s="26"/>
      <c r="P49" s="26"/>
      <c r="Q49" s="26"/>
      <c r="R49" s="26"/>
      <c r="S49" s="26"/>
      <c r="T49" s="26"/>
    </row>
    <row r="50" spans="1:20" ht="30" x14ac:dyDescent="0.25">
      <c r="A50" s="26"/>
      <c r="B50" s="260" t="s">
        <v>915</v>
      </c>
      <c r="C50" s="385" t="s">
        <v>924</v>
      </c>
      <c r="D50" s="9" t="s">
        <v>924</v>
      </c>
      <c r="E50" s="256" t="s">
        <v>258</v>
      </c>
      <c r="F50" s="267" t="s">
        <v>312</v>
      </c>
      <c r="G50" s="255" t="s">
        <v>312</v>
      </c>
      <c r="H50" s="7" t="s">
        <v>312</v>
      </c>
      <c r="I50" s="7" t="s">
        <v>312</v>
      </c>
      <c r="J50" s="7">
        <v>1</v>
      </c>
      <c r="K50" s="7" t="s">
        <v>312</v>
      </c>
      <c r="L50" s="7" t="s">
        <v>312</v>
      </c>
      <c r="M50" s="256" t="s">
        <v>312</v>
      </c>
      <c r="N50" s="264" t="s">
        <v>1003</v>
      </c>
      <c r="O50" s="26"/>
      <c r="P50" s="26"/>
      <c r="Q50" s="26"/>
      <c r="R50" s="26"/>
      <c r="S50" s="26"/>
      <c r="T50" s="26"/>
    </row>
    <row r="51" spans="1:20" x14ac:dyDescent="0.25">
      <c r="A51" s="26"/>
      <c r="B51" s="260" t="s">
        <v>950</v>
      </c>
      <c r="C51" s="255" t="s">
        <v>98</v>
      </c>
      <c r="D51" s="7" t="s">
        <v>318</v>
      </c>
      <c r="E51" s="260" t="s">
        <v>950</v>
      </c>
      <c r="F51" s="267" t="s">
        <v>310</v>
      </c>
      <c r="G51" s="255">
        <v>27</v>
      </c>
      <c r="H51" s="7" t="s">
        <v>325</v>
      </c>
      <c r="I51" s="7" t="s">
        <v>312</v>
      </c>
      <c r="J51" s="7" t="s">
        <v>312</v>
      </c>
      <c r="K51" s="7" t="s">
        <v>312</v>
      </c>
      <c r="L51" s="7">
        <v>16</v>
      </c>
      <c r="M51" s="256" t="s">
        <v>312</v>
      </c>
      <c r="N51" s="264" t="s">
        <v>317</v>
      </c>
      <c r="O51" s="26"/>
      <c r="P51" s="26"/>
      <c r="Q51" s="26"/>
      <c r="R51" s="26"/>
      <c r="S51" s="26"/>
      <c r="T51" s="26"/>
    </row>
    <row r="52" spans="1:20" x14ac:dyDescent="0.25">
      <c r="A52" s="26"/>
      <c r="B52" s="260" t="s">
        <v>932</v>
      </c>
      <c r="C52" s="255" t="s">
        <v>98</v>
      </c>
      <c r="D52" s="7" t="s">
        <v>318</v>
      </c>
      <c r="E52" s="256" t="s">
        <v>932</v>
      </c>
      <c r="F52" s="267" t="s">
        <v>310</v>
      </c>
      <c r="G52" s="255">
        <v>3</v>
      </c>
      <c r="H52" s="7">
        <v>5</v>
      </c>
      <c r="I52" s="7" t="s">
        <v>312</v>
      </c>
      <c r="J52" s="7" t="s">
        <v>312</v>
      </c>
      <c r="K52" s="7" t="s">
        <v>312</v>
      </c>
      <c r="L52" s="7">
        <v>2</v>
      </c>
      <c r="M52" s="256">
        <v>5</v>
      </c>
      <c r="N52" s="264" t="s">
        <v>317</v>
      </c>
      <c r="O52" s="26"/>
      <c r="P52" s="26"/>
      <c r="Q52" s="26"/>
      <c r="R52" s="26"/>
      <c r="S52" s="26"/>
      <c r="T52" s="26"/>
    </row>
    <row r="53" spans="1:20" x14ac:dyDescent="0.25">
      <c r="A53" s="26"/>
      <c r="B53" s="260" t="s">
        <v>933</v>
      </c>
      <c r="C53" s="255" t="s">
        <v>321</v>
      </c>
      <c r="D53" s="7" t="s">
        <v>321</v>
      </c>
      <c r="E53" s="262" t="s">
        <v>311</v>
      </c>
      <c r="F53" s="267" t="s">
        <v>312</v>
      </c>
      <c r="G53" s="255" t="s">
        <v>312</v>
      </c>
      <c r="H53" s="7" t="s">
        <v>312</v>
      </c>
      <c r="I53" s="7" t="s">
        <v>312</v>
      </c>
      <c r="J53" s="7" t="s">
        <v>312</v>
      </c>
      <c r="K53" s="7">
        <v>0</v>
      </c>
      <c r="L53" s="7" t="s">
        <v>312</v>
      </c>
      <c r="M53" s="256" t="s">
        <v>312</v>
      </c>
      <c r="N53" s="264" t="s">
        <v>311</v>
      </c>
      <c r="O53" s="26"/>
      <c r="P53" s="26"/>
      <c r="Q53" s="26"/>
      <c r="R53" s="26"/>
      <c r="S53" s="26"/>
      <c r="T53" s="26"/>
    </row>
    <row r="54" spans="1:20" x14ac:dyDescent="0.25">
      <c r="A54" s="26"/>
      <c r="B54" s="260" t="s">
        <v>934</v>
      </c>
      <c r="C54" s="255" t="s">
        <v>98</v>
      </c>
      <c r="D54" s="7" t="s">
        <v>318</v>
      </c>
      <c r="E54" s="256" t="s">
        <v>934</v>
      </c>
      <c r="F54" s="267" t="s">
        <v>310</v>
      </c>
      <c r="G54" s="255">
        <v>3</v>
      </c>
      <c r="H54" s="7">
        <v>5</v>
      </c>
      <c r="I54" s="7" t="s">
        <v>312</v>
      </c>
      <c r="J54" s="7" t="s">
        <v>312</v>
      </c>
      <c r="K54" s="7" t="s">
        <v>312</v>
      </c>
      <c r="L54" s="7">
        <v>1</v>
      </c>
      <c r="M54" s="256" t="s">
        <v>312</v>
      </c>
      <c r="N54" s="264" t="s">
        <v>317</v>
      </c>
      <c r="O54" s="26"/>
      <c r="P54" s="26"/>
      <c r="Q54" s="26"/>
      <c r="R54" s="26"/>
      <c r="S54" s="26"/>
      <c r="T54" s="26"/>
    </row>
    <row r="55" spans="1:20" ht="30" x14ac:dyDescent="0.25">
      <c r="A55" s="26"/>
      <c r="B55" s="260" t="s">
        <v>278</v>
      </c>
      <c r="C55" s="385" t="s">
        <v>924</v>
      </c>
      <c r="D55" s="9" t="s">
        <v>924</v>
      </c>
      <c r="E55" s="262" t="s">
        <v>311</v>
      </c>
      <c r="F55" s="267" t="s">
        <v>312</v>
      </c>
      <c r="G55" s="255" t="s">
        <v>312</v>
      </c>
      <c r="H55" s="7" t="s">
        <v>312</v>
      </c>
      <c r="I55" s="7" t="s">
        <v>312</v>
      </c>
      <c r="J55" s="7">
        <v>1</v>
      </c>
      <c r="K55" s="7" t="s">
        <v>312</v>
      </c>
      <c r="L55" s="7" t="s">
        <v>312</v>
      </c>
      <c r="M55" s="256" t="s">
        <v>312</v>
      </c>
      <c r="N55" s="264" t="s">
        <v>311</v>
      </c>
      <c r="O55" s="26"/>
      <c r="P55" s="26"/>
      <c r="Q55" s="26"/>
      <c r="R55" s="26"/>
      <c r="S55" s="26"/>
      <c r="T55" s="26"/>
    </row>
    <row r="56" spans="1:20" x14ac:dyDescent="0.25">
      <c r="A56" s="26"/>
      <c r="B56" s="260" t="s">
        <v>942</v>
      </c>
      <c r="C56" s="255" t="s">
        <v>98</v>
      </c>
      <c r="D56" s="7" t="s">
        <v>318</v>
      </c>
      <c r="E56" s="260" t="s">
        <v>942</v>
      </c>
      <c r="F56" s="267" t="s">
        <v>310</v>
      </c>
      <c r="G56" s="255">
        <v>3</v>
      </c>
      <c r="H56" s="7">
        <v>5</v>
      </c>
      <c r="I56" s="7" t="s">
        <v>312</v>
      </c>
      <c r="J56" s="7" t="s">
        <v>312</v>
      </c>
      <c r="K56" s="7" t="s">
        <v>312</v>
      </c>
      <c r="L56" s="7">
        <v>1</v>
      </c>
      <c r="M56" s="256" t="s">
        <v>312</v>
      </c>
      <c r="N56" s="264" t="s">
        <v>317</v>
      </c>
      <c r="O56" s="26"/>
      <c r="P56" s="26"/>
      <c r="Q56" s="26"/>
      <c r="R56" s="26"/>
      <c r="S56" s="26"/>
      <c r="T56" s="26"/>
    </row>
    <row r="57" spans="1:20" x14ac:dyDescent="0.25">
      <c r="A57" s="26"/>
      <c r="B57" s="260" t="s">
        <v>279</v>
      </c>
      <c r="C57" s="255" t="s">
        <v>98</v>
      </c>
      <c r="D57" s="7" t="s">
        <v>318</v>
      </c>
      <c r="E57" s="256" t="s">
        <v>947</v>
      </c>
      <c r="F57" s="267" t="s">
        <v>310</v>
      </c>
      <c r="G57" s="255">
        <v>30</v>
      </c>
      <c r="H57" s="7" t="s">
        <v>325</v>
      </c>
      <c r="I57" s="7" t="s">
        <v>312</v>
      </c>
      <c r="J57" s="7" t="s">
        <v>312</v>
      </c>
      <c r="K57" s="7" t="s">
        <v>312</v>
      </c>
      <c r="L57" s="7">
        <v>7</v>
      </c>
      <c r="M57" s="256" t="s">
        <v>312</v>
      </c>
      <c r="N57" s="264" t="s">
        <v>326</v>
      </c>
      <c r="O57" s="26"/>
      <c r="P57" s="26"/>
      <c r="Q57" s="26"/>
      <c r="R57" s="26"/>
      <c r="S57" s="26"/>
      <c r="T57" s="26"/>
    </row>
    <row r="58" spans="1:20" x14ac:dyDescent="0.25">
      <c r="A58" s="26"/>
      <c r="B58" s="260" t="s">
        <v>922</v>
      </c>
      <c r="C58" s="255" t="s">
        <v>98</v>
      </c>
      <c r="D58" s="7" t="s">
        <v>318</v>
      </c>
      <c r="E58" s="256" t="s">
        <v>922</v>
      </c>
      <c r="F58" s="267" t="s">
        <v>310</v>
      </c>
      <c r="G58" s="255" t="s">
        <v>325</v>
      </c>
      <c r="H58" s="7" t="s">
        <v>325</v>
      </c>
      <c r="I58" s="7" t="s">
        <v>312</v>
      </c>
      <c r="J58" s="7" t="s">
        <v>312</v>
      </c>
      <c r="K58" s="7" t="s">
        <v>312</v>
      </c>
      <c r="L58" s="7">
        <v>15</v>
      </c>
      <c r="M58" s="256" t="s">
        <v>325</v>
      </c>
      <c r="N58" s="264" t="s">
        <v>317</v>
      </c>
      <c r="O58" s="26"/>
      <c r="P58" s="26"/>
      <c r="Q58" s="26"/>
      <c r="R58" s="26"/>
      <c r="S58" s="26"/>
      <c r="T58" s="26"/>
    </row>
    <row r="59" spans="1:20" x14ac:dyDescent="0.25">
      <c r="A59" s="26"/>
      <c r="B59" s="260" t="s">
        <v>281</v>
      </c>
      <c r="C59" s="255" t="s">
        <v>98</v>
      </c>
      <c r="D59" s="7" t="s">
        <v>318</v>
      </c>
      <c r="E59" s="256" t="s">
        <v>281</v>
      </c>
      <c r="F59" s="267" t="s">
        <v>310</v>
      </c>
      <c r="G59" s="255" t="s">
        <v>325</v>
      </c>
      <c r="H59" s="7" t="s">
        <v>325</v>
      </c>
      <c r="I59" s="7" t="s">
        <v>312</v>
      </c>
      <c r="J59" s="7" t="s">
        <v>312</v>
      </c>
      <c r="K59" s="7" t="s">
        <v>312</v>
      </c>
      <c r="L59" s="7">
        <v>10</v>
      </c>
      <c r="M59" s="256">
        <v>25</v>
      </c>
      <c r="N59" s="264" t="s">
        <v>317</v>
      </c>
      <c r="O59" s="26"/>
      <c r="P59" s="26"/>
      <c r="Q59" s="26"/>
      <c r="R59" s="26"/>
      <c r="S59" s="26"/>
      <c r="T59" s="26"/>
    </row>
    <row r="60" spans="1:20" x14ac:dyDescent="0.25">
      <c r="A60" s="26"/>
      <c r="B60" s="260" t="s">
        <v>282</v>
      </c>
      <c r="C60" s="255" t="s">
        <v>98</v>
      </c>
      <c r="D60" s="7" t="s">
        <v>318</v>
      </c>
      <c r="E60" s="256" t="s">
        <v>282</v>
      </c>
      <c r="F60" s="267" t="s">
        <v>310</v>
      </c>
      <c r="G60" s="255">
        <v>30</v>
      </c>
      <c r="H60" s="7" t="s">
        <v>325</v>
      </c>
      <c r="I60" s="7" t="s">
        <v>312</v>
      </c>
      <c r="J60" s="7" t="s">
        <v>312</v>
      </c>
      <c r="K60" s="7" t="s">
        <v>312</v>
      </c>
      <c r="L60" s="7">
        <v>10</v>
      </c>
      <c r="M60" s="256">
        <v>25</v>
      </c>
      <c r="N60" s="264" t="s">
        <v>317</v>
      </c>
      <c r="O60" s="26"/>
      <c r="P60" s="26"/>
      <c r="Q60" s="26"/>
      <c r="R60" s="26"/>
      <c r="S60" s="26"/>
      <c r="T60" s="26"/>
    </row>
    <row r="61" spans="1:20" x14ac:dyDescent="0.25">
      <c r="A61" s="26"/>
      <c r="B61" s="260" t="s">
        <v>283</v>
      </c>
      <c r="C61" s="255" t="s">
        <v>98</v>
      </c>
      <c r="D61" s="7" t="s">
        <v>318</v>
      </c>
      <c r="E61" s="256" t="s">
        <v>283</v>
      </c>
      <c r="F61" s="267" t="s">
        <v>310</v>
      </c>
      <c r="G61" s="255">
        <v>1</v>
      </c>
      <c r="H61" s="7">
        <v>3</v>
      </c>
      <c r="I61" s="7" t="s">
        <v>312</v>
      </c>
      <c r="J61" s="7" t="s">
        <v>312</v>
      </c>
      <c r="K61" s="7" t="s">
        <v>312</v>
      </c>
      <c r="L61" s="7">
        <v>2</v>
      </c>
      <c r="M61" s="256" t="s">
        <v>312</v>
      </c>
      <c r="N61" s="264" t="s">
        <v>317</v>
      </c>
      <c r="O61" s="26"/>
      <c r="P61" s="26"/>
      <c r="Q61" s="26"/>
      <c r="R61" s="26"/>
      <c r="S61" s="26"/>
      <c r="T61" s="26"/>
    </row>
    <row r="62" spans="1:20" x14ac:dyDescent="0.25">
      <c r="A62" s="26"/>
      <c r="B62" s="260" t="s">
        <v>284</v>
      </c>
      <c r="C62" s="255" t="s">
        <v>98</v>
      </c>
      <c r="D62" s="7" t="s">
        <v>318</v>
      </c>
      <c r="E62" s="256" t="s">
        <v>284</v>
      </c>
      <c r="F62" s="267" t="s">
        <v>310</v>
      </c>
      <c r="G62" s="255">
        <v>7</v>
      </c>
      <c r="H62" s="7">
        <v>15</v>
      </c>
      <c r="I62" s="7" t="s">
        <v>312</v>
      </c>
      <c r="J62" s="7" t="s">
        <v>312</v>
      </c>
      <c r="K62" s="7" t="s">
        <v>312</v>
      </c>
      <c r="L62" s="7">
        <v>14</v>
      </c>
      <c r="M62" s="256" t="s">
        <v>312</v>
      </c>
      <c r="N62" s="264" t="s">
        <v>317</v>
      </c>
      <c r="O62" s="26"/>
      <c r="P62" s="26"/>
      <c r="Q62" s="26"/>
      <c r="R62" s="26"/>
      <c r="S62" s="26"/>
      <c r="T62" s="26"/>
    </row>
    <row r="63" spans="1:20" x14ac:dyDescent="0.25">
      <c r="A63" s="26"/>
      <c r="B63" s="260" t="s">
        <v>327</v>
      </c>
      <c r="C63" s="255" t="s">
        <v>98</v>
      </c>
      <c r="D63" s="7" t="s">
        <v>318</v>
      </c>
      <c r="E63" s="256" t="s">
        <v>327</v>
      </c>
      <c r="F63" s="267" t="s">
        <v>310</v>
      </c>
      <c r="G63" s="255">
        <v>1</v>
      </c>
      <c r="H63" s="7">
        <v>3</v>
      </c>
      <c r="I63" s="7" t="s">
        <v>312</v>
      </c>
      <c r="J63" s="7" t="s">
        <v>312</v>
      </c>
      <c r="K63" s="7" t="s">
        <v>312</v>
      </c>
      <c r="L63" s="7">
        <v>2</v>
      </c>
      <c r="M63" s="256" t="s">
        <v>312</v>
      </c>
      <c r="N63" s="264" t="s">
        <v>317</v>
      </c>
      <c r="O63" s="26"/>
      <c r="P63" s="26"/>
      <c r="Q63" s="26"/>
      <c r="R63" s="26"/>
      <c r="S63" s="26"/>
      <c r="T63" s="26"/>
    </row>
    <row r="64" spans="1:20" x14ac:dyDescent="0.25">
      <c r="A64" s="26"/>
      <c r="B64" s="260" t="s">
        <v>328</v>
      </c>
      <c r="C64" s="255" t="s">
        <v>98</v>
      </c>
      <c r="D64" s="7" t="s">
        <v>318</v>
      </c>
      <c r="E64" s="256" t="s">
        <v>328</v>
      </c>
      <c r="F64" s="267" t="s">
        <v>310</v>
      </c>
      <c r="G64" s="255">
        <v>3</v>
      </c>
      <c r="H64" s="7">
        <v>6</v>
      </c>
      <c r="I64" s="7" t="s">
        <v>312</v>
      </c>
      <c r="J64" s="7" t="s">
        <v>312</v>
      </c>
      <c r="K64" s="7" t="s">
        <v>312</v>
      </c>
      <c r="L64" s="7">
        <v>4</v>
      </c>
      <c r="M64" s="256" t="s">
        <v>312</v>
      </c>
      <c r="N64" s="264" t="s">
        <v>317</v>
      </c>
      <c r="O64" s="26"/>
      <c r="P64" s="26"/>
      <c r="Q64" s="26"/>
      <c r="R64" s="26"/>
      <c r="S64" s="26"/>
      <c r="T64" s="26"/>
    </row>
    <row r="65" spans="1:20" x14ac:dyDescent="0.25">
      <c r="A65" s="26"/>
      <c r="B65" s="260" t="s">
        <v>329</v>
      </c>
      <c r="C65" s="255" t="s">
        <v>98</v>
      </c>
      <c r="D65" s="7" t="s">
        <v>318</v>
      </c>
      <c r="E65" s="256" t="s">
        <v>329</v>
      </c>
      <c r="F65" s="267" t="s">
        <v>310</v>
      </c>
      <c r="G65" s="255">
        <v>1</v>
      </c>
      <c r="H65" s="7">
        <v>4</v>
      </c>
      <c r="I65" s="7" t="s">
        <v>312</v>
      </c>
      <c r="J65" s="7" t="s">
        <v>312</v>
      </c>
      <c r="K65" s="7" t="s">
        <v>312</v>
      </c>
      <c r="L65" s="7">
        <v>3</v>
      </c>
      <c r="M65" s="256" t="s">
        <v>312</v>
      </c>
      <c r="N65" s="264" t="s">
        <v>317</v>
      </c>
      <c r="O65" s="26"/>
      <c r="P65" s="26"/>
      <c r="Q65" s="26"/>
      <c r="R65" s="26"/>
      <c r="S65" s="26"/>
      <c r="T65" s="26"/>
    </row>
    <row r="66" spans="1:20" x14ac:dyDescent="0.25">
      <c r="A66" s="26"/>
      <c r="B66" s="260" t="s">
        <v>330</v>
      </c>
      <c r="C66" s="255" t="s">
        <v>98</v>
      </c>
      <c r="D66" s="7" t="s">
        <v>318</v>
      </c>
      <c r="E66" s="256" t="s">
        <v>330</v>
      </c>
      <c r="F66" s="267" t="s">
        <v>310</v>
      </c>
      <c r="G66" s="255">
        <v>3</v>
      </c>
      <c r="H66" s="7">
        <v>5</v>
      </c>
      <c r="I66" s="7" t="s">
        <v>312</v>
      </c>
      <c r="J66" s="7" t="s">
        <v>312</v>
      </c>
      <c r="K66" s="7" t="s">
        <v>312</v>
      </c>
      <c r="L66" s="7">
        <v>4</v>
      </c>
      <c r="M66" s="256" t="s">
        <v>312</v>
      </c>
      <c r="N66" s="264" t="s">
        <v>317</v>
      </c>
      <c r="O66" s="26"/>
      <c r="P66" s="26"/>
      <c r="Q66" s="26"/>
      <c r="R66" s="26"/>
      <c r="S66" s="26"/>
      <c r="T66" s="26"/>
    </row>
    <row r="67" spans="1:20" x14ac:dyDescent="0.25">
      <c r="A67" s="26"/>
      <c r="B67" s="260" t="s">
        <v>331</v>
      </c>
      <c r="C67" s="255" t="s">
        <v>98</v>
      </c>
      <c r="D67" s="7" t="s">
        <v>318</v>
      </c>
      <c r="E67" s="256" t="s">
        <v>331</v>
      </c>
      <c r="F67" s="267" t="s">
        <v>310</v>
      </c>
      <c r="G67" s="255">
        <v>3</v>
      </c>
      <c r="H67" s="7">
        <v>5</v>
      </c>
      <c r="I67" s="7" t="s">
        <v>312</v>
      </c>
      <c r="J67" s="7" t="s">
        <v>312</v>
      </c>
      <c r="K67" s="7" t="s">
        <v>312</v>
      </c>
      <c r="L67" s="7">
        <v>2</v>
      </c>
      <c r="M67" s="256" t="s">
        <v>312</v>
      </c>
      <c r="N67" s="264" t="s">
        <v>317</v>
      </c>
      <c r="O67" s="26"/>
      <c r="P67" s="26"/>
      <c r="Q67" s="26"/>
      <c r="R67" s="26"/>
      <c r="S67" s="26"/>
      <c r="T67" s="26"/>
    </row>
    <row r="68" spans="1:20" x14ac:dyDescent="0.25">
      <c r="A68" s="26"/>
      <c r="B68" s="260" t="s">
        <v>332</v>
      </c>
      <c r="C68" s="255" t="s">
        <v>98</v>
      </c>
      <c r="D68" s="7" t="s">
        <v>318</v>
      </c>
      <c r="E68" s="256" t="s">
        <v>332</v>
      </c>
      <c r="F68" s="267" t="s">
        <v>310</v>
      </c>
      <c r="G68" s="255">
        <v>10</v>
      </c>
      <c r="H68" s="7">
        <v>20</v>
      </c>
      <c r="I68" s="7" t="s">
        <v>312</v>
      </c>
      <c r="J68" s="7" t="s">
        <v>312</v>
      </c>
      <c r="K68" s="7" t="s">
        <v>312</v>
      </c>
      <c r="L68" s="7">
        <v>20</v>
      </c>
      <c r="M68" s="256" t="s">
        <v>312</v>
      </c>
      <c r="N68" s="264" t="s">
        <v>317</v>
      </c>
      <c r="O68" s="26"/>
      <c r="P68" s="26"/>
      <c r="Q68" s="26"/>
      <c r="R68" s="26"/>
      <c r="S68" s="26"/>
      <c r="T68" s="26"/>
    </row>
    <row r="69" spans="1:20" x14ac:dyDescent="0.25">
      <c r="A69" s="26"/>
      <c r="B69" s="260" t="s">
        <v>333</v>
      </c>
      <c r="C69" s="255" t="s">
        <v>98</v>
      </c>
      <c r="D69" s="7" t="s">
        <v>318</v>
      </c>
      <c r="E69" s="256" t="s">
        <v>333</v>
      </c>
      <c r="F69" s="267" t="s">
        <v>310</v>
      </c>
      <c r="G69" s="255">
        <v>5</v>
      </c>
      <c r="H69" s="7">
        <v>15</v>
      </c>
      <c r="I69" s="7" t="s">
        <v>312</v>
      </c>
      <c r="J69" s="7" t="s">
        <v>312</v>
      </c>
      <c r="K69" s="7" t="s">
        <v>312</v>
      </c>
      <c r="L69" s="7">
        <v>6</v>
      </c>
      <c r="M69" s="256" t="s">
        <v>312</v>
      </c>
      <c r="N69" s="264" t="s">
        <v>317</v>
      </c>
      <c r="O69" s="26"/>
      <c r="P69" s="26"/>
      <c r="Q69" s="26"/>
      <c r="R69" s="26"/>
      <c r="S69" s="26"/>
      <c r="T69" s="26"/>
    </row>
    <row r="70" spans="1:20" x14ac:dyDescent="0.25">
      <c r="A70" s="26"/>
      <c r="B70" s="260" t="s">
        <v>285</v>
      </c>
      <c r="C70" s="255" t="s">
        <v>98</v>
      </c>
      <c r="D70" s="7" t="s">
        <v>318</v>
      </c>
      <c r="E70" s="256" t="s">
        <v>285</v>
      </c>
      <c r="F70" s="267" t="s">
        <v>310</v>
      </c>
      <c r="G70" s="255">
        <v>1</v>
      </c>
      <c r="H70" s="7">
        <v>4</v>
      </c>
      <c r="I70" s="7" t="s">
        <v>312</v>
      </c>
      <c r="J70" s="7" t="s">
        <v>312</v>
      </c>
      <c r="K70" s="7" t="s">
        <v>312</v>
      </c>
      <c r="L70" s="7">
        <v>3</v>
      </c>
      <c r="M70" s="256" t="s">
        <v>312</v>
      </c>
      <c r="N70" s="264" t="s">
        <v>317</v>
      </c>
      <c r="O70" s="26"/>
      <c r="P70" s="26"/>
      <c r="Q70" s="26"/>
      <c r="R70" s="26"/>
      <c r="S70" s="26"/>
      <c r="T70" s="26"/>
    </row>
    <row r="71" spans="1:20" x14ac:dyDescent="0.25">
      <c r="A71" s="26"/>
      <c r="B71" s="260" t="s">
        <v>286</v>
      </c>
      <c r="C71" s="255" t="s">
        <v>98</v>
      </c>
      <c r="D71" s="7" t="s">
        <v>318</v>
      </c>
      <c r="E71" s="256" t="s">
        <v>286</v>
      </c>
      <c r="F71" s="267" t="s">
        <v>310</v>
      </c>
      <c r="G71" s="255">
        <v>5</v>
      </c>
      <c r="H71" s="7">
        <v>15</v>
      </c>
      <c r="I71" s="7" t="s">
        <v>312</v>
      </c>
      <c r="J71" s="7" t="s">
        <v>312</v>
      </c>
      <c r="K71" s="7" t="s">
        <v>312</v>
      </c>
      <c r="L71" s="7">
        <v>12</v>
      </c>
      <c r="M71" s="256" t="s">
        <v>312</v>
      </c>
      <c r="N71" s="264" t="s">
        <v>317</v>
      </c>
      <c r="O71" s="26"/>
      <c r="P71" s="26"/>
      <c r="Q71" s="26"/>
      <c r="R71" s="26"/>
      <c r="S71" s="26"/>
      <c r="T71" s="26"/>
    </row>
    <row r="72" spans="1:20" x14ac:dyDescent="0.25">
      <c r="A72" s="26"/>
      <c r="B72" s="260" t="s">
        <v>837</v>
      </c>
      <c r="C72" s="255" t="s">
        <v>98</v>
      </c>
      <c r="D72" s="7" t="s">
        <v>318</v>
      </c>
      <c r="E72" s="256" t="s">
        <v>837</v>
      </c>
      <c r="F72" s="267" t="s">
        <v>310</v>
      </c>
      <c r="G72" s="255">
        <v>4</v>
      </c>
      <c r="H72" s="7">
        <v>13</v>
      </c>
      <c r="I72" s="7" t="s">
        <v>312</v>
      </c>
      <c r="J72" s="7" t="s">
        <v>312</v>
      </c>
      <c r="K72" s="7" t="s">
        <v>312</v>
      </c>
      <c r="L72" s="7">
        <v>11</v>
      </c>
      <c r="M72" s="256" t="s">
        <v>312</v>
      </c>
      <c r="N72" s="264" t="s">
        <v>317</v>
      </c>
      <c r="O72" s="26"/>
      <c r="P72" s="26"/>
      <c r="Q72" s="26"/>
      <c r="R72" s="26"/>
      <c r="S72" s="26"/>
      <c r="T72" s="26"/>
    </row>
    <row r="73" spans="1:20" x14ac:dyDescent="0.25">
      <c r="A73" s="26"/>
      <c r="B73" s="260" t="s">
        <v>958</v>
      </c>
      <c r="C73" s="255" t="s">
        <v>98</v>
      </c>
      <c r="D73" s="7" t="s">
        <v>318</v>
      </c>
      <c r="E73" s="256" t="s">
        <v>958</v>
      </c>
      <c r="F73" s="267" t="s">
        <v>310</v>
      </c>
      <c r="G73" s="255">
        <v>4</v>
      </c>
      <c r="H73" s="7">
        <v>13</v>
      </c>
      <c r="I73" s="7" t="s">
        <v>312</v>
      </c>
      <c r="J73" s="7" t="s">
        <v>312</v>
      </c>
      <c r="K73" s="7" t="s">
        <v>312</v>
      </c>
      <c r="L73" s="7">
        <v>11</v>
      </c>
      <c r="M73" s="256" t="s">
        <v>312</v>
      </c>
      <c r="N73" s="264" t="s">
        <v>317</v>
      </c>
      <c r="O73" s="26"/>
      <c r="P73" s="26"/>
      <c r="Q73" s="26"/>
      <c r="R73" s="26"/>
      <c r="S73" s="26"/>
      <c r="T73" s="26"/>
    </row>
    <row r="74" spans="1:20" x14ac:dyDescent="0.25">
      <c r="A74" s="26"/>
      <c r="B74" s="260" t="s">
        <v>935</v>
      </c>
      <c r="C74" s="255" t="s">
        <v>98</v>
      </c>
      <c r="D74" s="7" t="s">
        <v>318</v>
      </c>
      <c r="E74" s="256" t="s">
        <v>935</v>
      </c>
      <c r="F74" s="267" t="s">
        <v>310</v>
      </c>
      <c r="G74" s="255">
        <v>5</v>
      </c>
      <c r="H74" s="7">
        <v>12</v>
      </c>
      <c r="I74" s="7" t="s">
        <v>312</v>
      </c>
      <c r="J74" s="7" t="s">
        <v>312</v>
      </c>
      <c r="K74" s="7" t="s">
        <v>312</v>
      </c>
      <c r="L74" s="7">
        <v>2</v>
      </c>
      <c r="M74" s="262">
        <v>5</v>
      </c>
      <c r="N74" s="264" t="s">
        <v>317</v>
      </c>
      <c r="O74" s="26"/>
      <c r="P74" s="26"/>
      <c r="Q74" s="26"/>
      <c r="R74" s="26"/>
      <c r="S74" s="26"/>
      <c r="T74" s="26"/>
    </row>
    <row r="75" spans="1:20" x14ac:dyDescent="0.25">
      <c r="A75" s="26"/>
      <c r="B75" s="260" t="s">
        <v>936</v>
      </c>
      <c r="C75" s="255" t="s">
        <v>98</v>
      </c>
      <c r="D75" s="7" t="s">
        <v>318</v>
      </c>
      <c r="E75" s="256" t="s">
        <v>936</v>
      </c>
      <c r="F75" s="267" t="s">
        <v>310</v>
      </c>
      <c r="G75" s="255">
        <v>5</v>
      </c>
      <c r="H75" s="7">
        <v>12</v>
      </c>
      <c r="I75" s="7" t="s">
        <v>312</v>
      </c>
      <c r="J75" s="7" t="s">
        <v>312</v>
      </c>
      <c r="K75" s="7" t="s">
        <v>312</v>
      </c>
      <c r="L75" s="7">
        <v>2</v>
      </c>
      <c r="M75" s="262">
        <v>6</v>
      </c>
      <c r="N75" s="264" t="s">
        <v>317</v>
      </c>
      <c r="O75" s="26"/>
      <c r="P75" s="26"/>
      <c r="Q75" s="26"/>
      <c r="R75" s="26"/>
      <c r="S75" s="26"/>
      <c r="T75" s="26"/>
    </row>
    <row r="76" spans="1:20" x14ac:dyDescent="0.25">
      <c r="A76" s="26"/>
      <c r="B76" s="260" t="s">
        <v>937</v>
      </c>
      <c r="C76" s="255" t="s">
        <v>98</v>
      </c>
      <c r="D76" s="7" t="s">
        <v>318</v>
      </c>
      <c r="E76" s="256" t="s">
        <v>937</v>
      </c>
      <c r="F76" s="267" t="s">
        <v>310</v>
      </c>
      <c r="G76" s="255">
        <v>10</v>
      </c>
      <c r="H76" s="7">
        <v>20</v>
      </c>
      <c r="I76" s="7" t="s">
        <v>312</v>
      </c>
      <c r="J76" s="7" t="s">
        <v>312</v>
      </c>
      <c r="K76" s="7" t="s">
        <v>312</v>
      </c>
      <c r="L76" s="7">
        <v>4</v>
      </c>
      <c r="M76" s="262">
        <v>12</v>
      </c>
      <c r="N76" s="264" t="s">
        <v>317</v>
      </c>
      <c r="O76" s="26"/>
      <c r="P76" s="26"/>
      <c r="Q76" s="26"/>
      <c r="R76" s="26"/>
      <c r="S76" s="26"/>
      <c r="T76" s="26"/>
    </row>
    <row r="77" spans="1:20" x14ac:dyDescent="0.25">
      <c r="A77" s="26"/>
      <c r="B77" s="260" t="s">
        <v>938</v>
      </c>
      <c r="C77" s="255" t="s">
        <v>98</v>
      </c>
      <c r="D77" s="7" t="s">
        <v>318</v>
      </c>
      <c r="E77" s="256" t="s">
        <v>948</v>
      </c>
      <c r="F77" s="267" t="s">
        <v>310</v>
      </c>
      <c r="G77" s="255">
        <v>5</v>
      </c>
      <c r="H77" s="7">
        <v>12</v>
      </c>
      <c r="I77" s="7" t="s">
        <v>312</v>
      </c>
      <c r="J77" s="7" t="s">
        <v>312</v>
      </c>
      <c r="K77" s="7" t="s">
        <v>312</v>
      </c>
      <c r="L77" s="7">
        <v>2</v>
      </c>
      <c r="M77" s="262" t="s">
        <v>312</v>
      </c>
      <c r="N77" s="264" t="s">
        <v>334</v>
      </c>
      <c r="O77" s="26"/>
      <c r="P77" s="26"/>
      <c r="Q77" s="26"/>
      <c r="R77" s="26"/>
      <c r="S77" s="26"/>
      <c r="T77" s="26"/>
    </row>
    <row r="78" spans="1:20" x14ac:dyDescent="0.25">
      <c r="A78" s="26"/>
      <c r="B78" s="260" t="s">
        <v>939</v>
      </c>
      <c r="C78" s="385" t="s">
        <v>316</v>
      </c>
      <c r="D78" s="9" t="s">
        <v>316</v>
      </c>
      <c r="E78" s="262" t="s">
        <v>311</v>
      </c>
      <c r="F78" s="267" t="s">
        <v>312</v>
      </c>
      <c r="G78" s="255" t="s">
        <v>312</v>
      </c>
      <c r="H78" s="7" t="s">
        <v>312</v>
      </c>
      <c r="I78" s="7">
        <v>1</v>
      </c>
      <c r="J78" s="7" t="s">
        <v>312</v>
      </c>
      <c r="K78" s="7" t="s">
        <v>312</v>
      </c>
      <c r="L78" s="7" t="s">
        <v>312</v>
      </c>
      <c r="M78" s="262" t="s">
        <v>312</v>
      </c>
      <c r="N78" s="264" t="s">
        <v>311</v>
      </c>
      <c r="O78" s="26"/>
      <c r="P78" s="26"/>
      <c r="Q78" s="26"/>
      <c r="R78" s="26"/>
      <c r="S78" s="26"/>
      <c r="T78" s="26"/>
    </row>
    <row r="79" spans="1:20" ht="30" x14ac:dyDescent="0.25">
      <c r="A79" s="26"/>
      <c r="B79" s="260" t="s">
        <v>198</v>
      </c>
      <c r="C79" s="255" t="s">
        <v>98</v>
      </c>
      <c r="D79" s="7" t="s">
        <v>318</v>
      </c>
      <c r="E79" s="262" t="s">
        <v>1006</v>
      </c>
      <c r="F79" s="267" t="s">
        <v>310</v>
      </c>
      <c r="G79" s="255">
        <v>20</v>
      </c>
      <c r="H79" s="7" t="s">
        <v>325</v>
      </c>
      <c r="I79" s="7" t="s">
        <v>312</v>
      </c>
      <c r="J79" s="7" t="s">
        <v>312</v>
      </c>
      <c r="K79" s="7" t="s">
        <v>1007</v>
      </c>
      <c r="L79" s="7">
        <v>10</v>
      </c>
      <c r="M79" s="262" t="s">
        <v>1007</v>
      </c>
      <c r="N79" s="264" t="s">
        <v>1004</v>
      </c>
      <c r="O79" s="26"/>
      <c r="P79" s="26"/>
      <c r="Q79" s="26"/>
      <c r="R79" s="26"/>
      <c r="S79" s="26"/>
      <c r="T79" s="26"/>
    </row>
    <row r="80" spans="1:20" ht="30" x14ac:dyDescent="0.25">
      <c r="A80" s="26"/>
      <c r="B80" s="260" t="s">
        <v>943</v>
      </c>
      <c r="C80" s="255" t="s">
        <v>98</v>
      </c>
      <c r="D80" s="7" t="s">
        <v>318</v>
      </c>
      <c r="E80" s="256" t="s">
        <v>1008</v>
      </c>
      <c r="F80" s="267" t="s">
        <v>310</v>
      </c>
      <c r="G80" s="255">
        <v>20</v>
      </c>
      <c r="H80" s="7" t="s">
        <v>325</v>
      </c>
      <c r="I80" s="7" t="s">
        <v>312</v>
      </c>
      <c r="J80" s="7" t="s">
        <v>312</v>
      </c>
      <c r="K80" s="7" t="s">
        <v>312</v>
      </c>
      <c r="L80" s="7">
        <v>10</v>
      </c>
      <c r="M80" s="262" t="s">
        <v>312</v>
      </c>
      <c r="N80" s="264" t="s">
        <v>1005</v>
      </c>
      <c r="O80" s="26"/>
      <c r="P80" s="26"/>
      <c r="Q80" s="26"/>
      <c r="R80" s="26"/>
      <c r="S80" s="26"/>
      <c r="T80" s="26"/>
    </row>
    <row r="81" spans="1:20" ht="30" x14ac:dyDescent="0.25">
      <c r="A81" s="26"/>
      <c r="B81" s="260" t="s">
        <v>944</v>
      </c>
      <c r="C81" s="255" t="s">
        <v>98</v>
      </c>
      <c r="D81" s="7" t="s">
        <v>318</v>
      </c>
      <c r="E81" s="262" t="s">
        <v>1010</v>
      </c>
      <c r="F81" s="267" t="s">
        <v>310</v>
      </c>
      <c r="G81" s="255">
        <v>20</v>
      </c>
      <c r="H81" s="7" t="s">
        <v>325</v>
      </c>
      <c r="I81" s="7" t="s">
        <v>312</v>
      </c>
      <c r="J81" s="7" t="s">
        <v>312</v>
      </c>
      <c r="K81" s="7" t="s">
        <v>312</v>
      </c>
      <c r="L81" s="7">
        <v>10</v>
      </c>
      <c r="M81" s="262">
        <v>10</v>
      </c>
      <c r="N81" s="264" t="s">
        <v>1004</v>
      </c>
      <c r="O81" s="26"/>
      <c r="P81" s="26"/>
      <c r="Q81" s="26"/>
      <c r="R81" s="26"/>
      <c r="S81" s="26"/>
      <c r="T81" s="26"/>
    </row>
    <row r="82" spans="1:20" x14ac:dyDescent="0.25">
      <c r="A82" s="26"/>
      <c r="B82" s="260" t="s">
        <v>945</v>
      </c>
      <c r="C82" s="255" t="s">
        <v>98</v>
      </c>
      <c r="D82" s="7" t="s">
        <v>318</v>
      </c>
      <c r="E82" s="256" t="s">
        <v>1009</v>
      </c>
      <c r="F82" s="267" t="s">
        <v>310</v>
      </c>
      <c r="G82" s="255">
        <v>20</v>
      </c>
      <c r="H82" s="7" t="s">
        <v>325</v>
      </c>
      <c r="I82" s="7" t="s">
        <v>312</v>
      </c>
      <c r="J82" s="7" t="s">
        <v>312</v>
      </c>
      <c r="K82" s="7" t="s">
        <v>312</v>
      </c>
      <c r="L82" s="7">
        <v>10</v>
      </c>
      <c r="M82" s="262">
        <v>10</v>
      </c>
      <c r="N82" s="264" t="s">
        <v>317</v>
      </c>
      <c r="O82" s="26"/>
      <c r="P82" s="26"/>
      <c r="Q82" s="26"/>
      <c r="R82" s="26"/>
      <c r="S82" s="26"/>
      <c r="T82" s="26"/>
    </row>
    <row r="83" spans="1:20" x14ac:dyDescent="0.25">
      <c r="A83" s="26"/>
      <c r="B83" s="260" t="s">
        <v>296</v>
      </c>
      <c r="C83" s="255" t="s">
        <v>98</v>
      </c>
      <c r="D83" s="7" t="s">
        <v>318</v>
      </c>
      <c r="E83" s="256" t="s">
        <v>296</v>
      </c>
      <c r="F83" s="267" t="s">
        <v>310</v>
      </c>
      <c r="G83" s="255">
        <v>5</v>
      </c>
      <c r="H83" s="7">
        <v>10</v>
      </c>
      <c r="I83" s="7" t="s">
        <v>312</v>
      </c>
      <c r="J83" s="7" t="s">
        <v>312</v>
      </c>
      <c r="K83" s="7" t="s">
        <v>312</v>
      </c>
      <c r="L83" s="7">
        <v>4</v>
      </c>
      <c r="M83" s="262">
        <v>10</v>
      </c>
      <c r="N83" s="264" t="s">
        <v>317</v>
      </c>
      <c r="O83" s="26"/>
      <c r="P83" s="26"/>
      <c r="Q83" s="26"/>
      <c r="R83" s="26"/>
      <c r="S83" s="26"/>
      <c r="T83" s="26"/>
    </row>
    <row r="84" spans="1:20" x14ac:dyDescent="0.25">
      <c r="A84" s="26"/>
      <c r="B84" s="260" t="s">
        <v>298</v>
      </c>
      <c r="C84" s="255" t="s">
        <v>98</v>
      </c>
      <c r="D84" s="7" t="s">
        <v>318</v>
      </c>
      <c r="E84" s="256" t="s">
        <v>298</v>
      </c>
      <c r="F84" s="267" t="s">
        <v>310</v>
      </c>
      <c r="G84" s="255">
        <v>5</v>
      </c>
      <c r="H84" s="7">
        <v>10</v>
      </c>
      <c r="I84" s="7" t="s">
        <v>312</v>
      </c>
      <c r="J84" s="7" t="s">
        <v>312</v>
      </c>
      <c r="K84" s="7" t="s">
        <v>312</v>
      </c>
      <c r="L84" s="7">
        <v>4</v>
      </c>
      <c r="M84" s="262">
        <v>10</v>
      </c>
      <c r="N84" s="264" t="s">
        <v>317</v>
      </c>
      <c r="O84" s="26"/>
      <c r="P84" s="26"/>
      <c r="Q84" s="26"/>
      <c r="R84" s="26"/>
      <c r="S84" s="26"/>
      <c r="T84" s="26"/>
    </row>
    <row r="85" spans="1:20" x14ac:dyDescent="0.25">
      <c r="A85" s="26"/>
      <c r="B85" s="260" t="s">
        <v>299</v>
      </c>
      <c r="C85" s="385" t="s">
        <v>316</v>
      </c>
      <c r="D85" s="9" t="s">
        <v>316</v>
      </c>
      <c r="E85" s="262" t="s">
        <v>335</v>
      </c>
      <c r="F85" s="267" t="s">
        <v>312</v>
      </c>
      <c r="G85" s="255" t="s">
        <v>312</v>
      </c>
      <c r="H85" s="7" t="s">
        <v>312</v>
      </c>
      <c r="I85" s="7">
        <v>1</v>
      </c>
      <c r="J85" s="7" t="s">
        <v>312</v>
      </c>
      <c r="K85" s="7" t="s">
        <v>312</v>
      </c>
      <c r="L85" s="7" t="s">
        <v>312</v>
      </c>
      <c r="M85" s="262" t="s">
        <v>312</v>
      </c>
      <c r="N85" s="264" t="s">
        <v>336</v>
      </c>
      <c r="O85" s="26"/>
      <c r="P85" s="26"/>
      <c r="Q85" s="26"/>
      <c r="R85" s="26"/>
      <c r="S85" s="26"/>
      <c r="T85" s="26"/>
    </row>
    <row r="86" spans="1:20" x14ac:dyDescent="0.25">
      <c r="A86" s="26"/>
      <c r="B86" s="260"/>
      <c r="C86" s="255"/>
      <c r="D86" s="7"/>
      <c r="E86" s="256"/>
      <c r="F86" s="267"/>
      <c r="G86" s="255"/>
      <c r="H86" s="7"/>
      <c r="I86" s="7"/>
      <c r="J86" s="7"/>
      <c r="K86" s="7"/>
      <c r="L86" s="7"/>
      <c r="M86" s="256"/>
      <c r="N86" s="260"/>
      <c r="O86" s="26"/>
      <c r="P86" s="26"/>
      <c r="Q86" s="26"/>
      <c r="R86" s="26"/>
      <c r="S86" s="26"/>
      <c r="T86" s="26"/>
    </row>
    <row r="87" spans="1:20" x14ac:dyDescent="0.25">
      <c r="A87" s="26"/>
      <c r="B87" s="260"/>
      <c r="C87" s="255"/>
      <c r="D87" s="7"/>
      <c r="E87" s="256"/>
      <c r="F87" s="267"/>
      <c r="G87" s="255"/>
      <c r="H87" s="7"/>
      <c r="I87" s="7"/>
      <c r="J87" s="7"/>
      <c r="K87" s="7"/>
      <c r="L87" s="7"/>
      <c r="M87" s="256"/>
      <c r="N87" s="260"/>
      <c r="O87" s="26"/>
      <c r="P87" s="26"/>
      <c r="Q87" s="26"/>
      <c r="R87" s="26"/>
      <c r="S87" s="26"/>
      <c r="T87" s="26"/>
    </row>
    <row r="88" spans="1:20" x14ac:dyDescent="0.25">
      <c r="A88" s="26"/>
      <c r="B88" s="260"/>
      <c r="C88" s="255"/>
      <c r="D88" s="7"/>
      <c r="E88" s="256"/>
      <c r="F88" s="267"/>
      <c r="G88" s="255"/>
      <c r="H88" s="7"/>
      <c r="I88" s="7"/>
      <c r="J88" s="7"/>
      <c r="K88" s="7"/>
      <c r="L88" s="7"/>
      <c r="M88" s="256"/>
      <c r="N88" s="260"/>
      <c r="O88" s="26"/>
      <c r="P88" s="26"/>
      <c r="Q88" s="26"/>
      <c r="R88" s="26"/>
      <c r="S88" s="26"/>
      <c r="T88" s="26"/>
    </row>
    <row r="89" spans="1:20" x14ac:dyDescent="0.25">
      <c r="A89" s="26"/>
      <c r="B89" s="260"/>
      <c r="C89" s="255"/>
      <c r="D89" s="7"/>
      <c r="E89" s="256"/>
      <c r="F89" s="267"/>
      <c r="G89" s="255"/>
      <c r="H89" s="7"/>
      <c r="I89" s="7"/>
      <c r="J89" s="7"/>
      <c r="K89" s="7"/>
      <c r="L89" s="7"/>
      <c r="M89" s="256"/>
      <c r="N89" s="260"/>
      <c r="O89" s="26"/>
      <c r="P89" s="26"/>
      <c r="Q89" s="26"/>
      <c r="R89" s="26"/>
      <c r="S89" s="26"/>
      <c r="T89" s="26"/>
    </row>
    <row r="90" spans="1:20" x14ac:dyDescent="0.25">
      <c r="A90" s="26"/>
      <c r="B90" s="260"/>
      <c r="C90" s="255"/>
      <c r="D90" s="7"/>
      <c r="E90" s="256"/>
      <c r="F90" s="267"/>
      <c r="G90" s="255"/>
      <c r="H90" s="7"/>
      <c r="I90" s="7"/>
      <c r="J90" s="7"/>
      <c r="K90" s="7"/>
      <c r="L90" s="7"/>
      <c r="M90" s="256"/>
      <c r="N90" s="260"/>
      <c r="O90" s="26"/>
      <c r="P90" s="26"/>
      <c r="Q90" s="26"/>
      <c r="R90" s="26"/>
      <c r="S90" s="26"/>
      <c r="T90" s="26"/>
    </row>
    <row r="91" spans="1:20" x14ac:dyDescent="0.25">
      <c r="A91" s="26"/>
      <c r="B91" s="260"/>
      <c r="C91" s="255"/>
      <c r="D91" s="7"/>
      <c r="E91" s="256"/>
      <c r="F91" s="267"/>
      <c r="G91" s="255"/>
      <c r="H91" s="7"/>
      <c r="I91" s="7"/>
      <c r="J91" s="7"/>
      <c r="K91" s="7"/>
      <c r="L91" s="7"/>
      <c r="M91" s="256"/>
      <c r="N91" s="260"/>
      <c r="O91" s="26"/>
      <c r="P91" s="26"/>
      <c r="Q91" s="26"/>
      <c r="R91" s="26"/>
      <c r="S91" s="26"/>
      <c r="T91" s="26"/>
    </row>
    <row r="92" spans="1:20" x14ac:dyDescent="0.25">
      <c r="A92" s="26"/>
      <c r="B92" s="260"/>
      <c r="C92" s="255"/>
      <c r="D92" s="7"/>
      <c r="E92" s="256"/>
      <c r="F92" s="267"/>
      <c r="G92" s="255"/>
      <c r="H92" s="7"/>
      <c r="I92" s="7"/>
      <c r="J92" s="7"/>
      <c r="K92" s="7"/>
      <c r="L92" s="7"/>
      <c r="M92" s="256"/>
      <c r="N92" s="260"/>
      <c r="O92" s="26"/>
      <c r="P92" s="26"/>
      <c r="Q92" s="26"/>
      <c r="R92" s="26"/>
      <c r="S92" s="26"/>
      <c r="T92" s="26"/>
    </row>
    <row r="93" spans="1:20" x14ac:dyDescent="0.25">
      <c r="A93" s="26"/>
      <c r="B93" s="260"/>
      <c r="C93" s="255"/>
      <c r="D93" s="7"/>
      <c r="E93" s="256"/>
      <c r="F93" s="267"/>
      <c r="G93" s="255"/>
      <c r="H93" s="7"/>
      <c r="I93" s="7"/>
      <c r="J93" s="7"/>
      <c r="K93" s="7"/>
      <c r="L93" s="7"/>
      <c r="M93" s="256"/>
      <c r="N93" s="260"/>
      <c r="O93" s="26"/>
      <c r="P93" s="26"/>
      <c r="Q93" s="26"/>
      <c r="R93" s="26"/>
      <c r="S93" s="26"/>
      <c r="T93" s="26"/>
    </row>
    <row r="94" spans="1:20" x14ac:dyDescent="0.25">
      <c r="A94" s="26"/>
      <c r="B94" s="260"/>
      <c r="C94" s="255"/>
      <c r="D94" s="7"/>
      <c r="E94" s="256"/>
      <c r="F94" s="267"/>
      <c r="G94" s="255"/>
      <c r="H94" s="7"/>
      <c r="I94" s="7"/>
      <c r="J94" s="7"/>
      <c r="K94" s="7"/>
      <c r="L94" s="7"/>
      <c r="M94" s="256"/>
      <c r="N94" s="260"/>
      <c r="O94" s="26"/>
      <c r="P94" s="26"/>
      <c r="Q94" s="26"/>
      <c r="R94" s="26"/>
      <c r="S94" s="26"/>
      <c r="T94" s="26"/>
    </row>
    <row r="95" spans="1:20" x14ac:dyDescent="0.25">
      <c r="A95" s="26"/>
      <c r="B95" s="260"/>
      <c r="C95" s="255"/>
      <c r="D95" s="7"/>
      <c r="E95" s="256"/>
      <c r="F95" s="267"/>
      <c r="G95" s="255"/>
      <c r="H95" s="7"/>
      <c r="I95" s="7"/>
      <c r="J95" s="7"/>
      <c r="K95" s="7"/>
      <c r="L95" s="7"/>
      <c r="M95" s="256"/>
      <c r="N95" s="260"/>
      <c r="O95" s="26"/>
      <c r="P95" s="26"/>
      <c r="Q95" s="26"/>
      <c r="R95" s="26"/>
      <c r="S95" s="26"/>
      <c r="T95" s="26"/>
    </row>
    <row r="96" spans="1:20" x14ac:dyDescent="0.25">
      <c r="A96" s="26"/>
      <c r="B96" s="260"/>
      <c r="C96" s="255"/>
      <c r="D96" s="7"/>
      <c r="E96" s="256"/>
      <c r="F96" s="267"/>
      <c r="G96" s="255"/>
      <c r="H96" s="7"/>
      <c r="I96" s="7"/>
      <c r="J96" s="7"/>
      <c r="K96" s="7"/>
      <c r="L96" s="7"/>
      <c r="M96" s="256"/>
      <c r="N96" s="260"/>
      <c r="O96" s="26"/>
      <c r="P96" s="26"/>
      <c r="Q96" s="26"/>
      <c r="R96" s="26"/>
      <c r="S96" s="26"/>
      <c r="T96" s="26"/>
    </row>
    <row r="97" spans="1:20" x14ac:dyDescent="0.25">
      <c r="A97" s="26"/>
      <c r="B97" s="260"/>
      <c r="C97" s="255"/>
      <c r="D97" s="7"/>
      <c r="E97" s="256"/>
      <c r="F97" s="267"/>
      <c r="G97" s="255"/>
      <c r="H97" s="7"/>
      <c r="I97" s="7"/>
      <c r="J97" s="7"/>
      <c r="K97" s="7"/>
      <c r="L97" s="7"/>
      <c r="M97" s="256"/>
      <c r="N97" s="260"/>
      <c r="O97" s="26"/>
      <c r="P97" s="26"/>
      <c r="Q97" s="26"/>
      <c r="R97" s="26"/>
      <c r="S97" s="26"/>
      <c r="T97" s="26"/>
    </row>
    <row r="98" spans="1:20" x14ac:dyDescent="0.25">
      <c r="A98" s="26"/>
      <c r="B98" s="260"/>
      <c r="C98" s="255"/>
      <c r="D98" s="7"/>
      <c r="E98" s="256"/>
      <c r="F98" s="267"/>
      <c r="G98" s="255"/>
      <c r="H98" s="7"/>
      <c r="I98" s="7"/>
      <c r="J98" s="7"/>
      <c r="K98" s="7"/>
      <c r="L98" s="7"/>
      <c r="M98" s="256"/>
      <c r="N98" s="260"/>
      <c r="O98" s="26"/>
      <c r="P98" s="26"/>
      <c r="Q98" s="26"/>
      <c r="R98" s="26"/>
      <c r="S98" s="26"/>
      <c r="T98" s="26"/>
    </row>
    <row r="99" spans="1:20" x14ac:dyDescent="0.25">
      <c r="A99" s="26"/>
      <c r="B99" s="260"/>
      <c r="C99" s="255"/>
      <c r="D99" s="7"/>
      <c r="E99" s="256"/>
      <c r="F99" s="267"/>
      <c r="G99" s="255"/>
      <c r="H99" s="7"/>
      <c r="I99" s="7"/>
      <c r="J99" s="7"/>
      <c r="K99" s="7"/>
      <c r="L99" s="7"/>
      <c r="M99" s="256"/>
      <c r="N99" s="260"/>
      <c r="O99" s="26"/>
      <c r="P99" s="26"/>
      <c r="Q99" s="26"/>
      <c r="R99" s="26"/>
      <c r="S99" s="26"/>
      <c r="T99" s="26"/>
    </row>
    <row r="100" spans="1:20" x14ac:dyDescent="0.25">
      <c r="A100" s="26"/>
      <c r="B100" s="260"/>
      <c r="C100" s="255"/>
      <c r="D100" s="7"/>
      <c r="E100" s="256"/>
      <c r="F100" s="267"/>
      <c r="G100" s="255"/>
      <c r="H100" s="7"/>
      <c r="I100" s="7"/>
      <c r="J100" s="7"/>
      <c r="K100" s="7"/>
      <c r="L100" s="7"/>
      <c r="M100" s="256"/>
      <c r="N100" s="260"/>
      <c r="O100" s="26"/>
      <c r="P100" s="26"/>
      <c r="Q100" s="26"/>
      <c r="R100" s="26"/>
      <c r="S100" s="26"/>
      <c r="T100" s="26"/>
    </row>
    <row r="101" spans="1:20" x14ac:dyDescent="0.25">
      <c r="A101" s="26"/>
      <c r="B101" s="260"/>
      <c r="C101" s="255"/>
      <c r="D101" s="7"/>
      <c r="E101" s="256"/>
      <c r="F101" s="267"/>
      <c r="G101" s="255"/>
      <c r="H101" s="7"/>
      <c r="I101" s="7"/>
      <c r="J101" s="7"/>
      <c r="K101" s="7"/>
      <c r="L101" s="7"/>
      <c r="M101" s="256"/>
      <c r="N101" s="260"/>
      <c r="O101" s="26"/>
      <c r="P101" s="26"/>
      <c r="Q101" s="26"/>
      <c r="R101" s="26"/>
      <c r="S101" s="26"/>
      <c r="T101" s="26"/>
    </row>
    <row r="102" spans="1:20" x14ac:dyDescent="0.25">
      <c r="A102" s="26"/>
      <c r="B102" s="260"/>
      <c r="C102" s="255"/>
      <c r="D102" s="7"/>
      <c r="E102" s="256"/>
      <c r="F102" s="267"/>
      <c r="G102" s="255"/>
      <c r="H102" s="7"/>
      <c r="I102" s="7"/>
      <c r="J102" s="7"/>
      <c r="K102" s="7"/>
      <c r="L102" s="7"/>
      <c r="M102" s="256"/>
      <c r="N102" s="260"/>
      <c r="O102" s="26"/>
      <c r="P102" s="26"/>
      <c r="Q102" s="26"/>
      <c r="R102" s="26"/>
      <c r="S102" s="26"/>
      <c r="T102" s="26"/>
    </row>
    <row r="103" spans="1:20" x14ac:dyDescent="0.25">
      <c r="A103" s="26"/>
      <c r="B103" s="260"/>
      <c r="C103" s="255"/>
      <c r="D103" s="7"/>
      <c r="E103" s="256"/>
      <c r="F103" s="267"/>
      <c r="G103" s="255"/>
      <c r="H103" s="7"/>
      <c r="I103" s="7"/>
      <c r="J103" s="7"/>
      <c r="K103" s="7"/>
      <c r="L103" s="7"/>
      <c r="M103" s="256"/>
      <c r="N103" s="260"/>
      <c r="O103" s="26"/>
      <c r="P103" s="26"/>
      <c r="Q103" s="26"/>
      <c r="R103" s="26"/>
      <c r="S103" s="26"/>
      <c r="T103" s="26"/>
    </row>
    <row r="104" spans="1:20" x14ac:dyDescent="0.25">
      <c r="A104" s="26"/>
      <c r="B104" s="260"/>
      <c r="C104" s="255"/>
      <c r="D104" s="7"/>
      <c r="E104" s="256"/>
      <c r="F104" s="267"/>
      <c r="G104" s="255"/>
      <c r="H104" s="7"/>
      <c r="I104" s="7"/>
      <c r="J104" s="7"/>
      <c r="K104" s="7"/>
      <c r="L104" s="7"/>
      <c r="M104" s="256"/>
      <c r="N104" s="260"/>
      <c r="O104" s="26"/>
      <c r="P104" s="26"/>
      <c r="Q104" s="26"/>
      <c r="R104" s="26"/>
      <c r="S104" s="26"/>
      <c r="T104" s="26"/>
    </row>
    <row r="105" spans="1:20" x14ac:dyDescent="0.25">
      <c r="A105" s="26"/>
      <c r="B105" s="260"/>
      <c r="C105" s="255"/>
      <c r="D105" s="7"/>
      <c r="E105" s="256"/>
      <c r="F105" s="267"/>
      <c r="G105" s="255"/>
      <c r="H105" s="7"/>
      <c r="I105" s="7"/>
      <c r="J105" s="7"/>
      <c r="K105" s="7"/>
      <c r="L105" s="7"/>
      <c r="M105" s="256"/>
      <c r="N105" s="260"/>
      <c r="O105" s="26"/>
      <c r="P105" s="26"/>
      <c r="Q105" s="26"/>
      <c r="R105" s="26"/>
      <c r="S105" s="26"/>
      <c r="T105" s="26"/>
    </row>
    <row r="106" spans="1:20" ht="15.75" thickBot="1" x14ac:dyDescent="0.3">
      <c r="A106" s="26"/>
      <c r="B106" s="261"/>
      <c r="C106" s="257"/>
      <c r="D106" s="258"/>
      <c r="E106" s="259"/>
      <c r="F106" s="388"/>
      <c r="G106" s="257"/>
      <c r="H106" s="258"/>
      <c r="I106" s="258"/>
      <c r="J106" s="258"/>
      <c r="K106" s="258"/>
      <c r="L106" s="258"/>
      <c r="M106" s="259"/>
      <c r="N106" s="261"/>
      <c r="O106" s="26"/>
      <c r="P106" s="26"/>
      <c r="Q106" s="26"/>
      <c r="R106" s="26"/>
      <c r="S106" s="26"/>
      <c r="T106" s="26"/>
    </row>
    <row r="107" spans="1:20" x14ac:dyDescent="0.25">
      <c r="A107" s="26"/>
      <c r="B107" s="26"/>
      <c r="C107" s="26"/>
      <c r="D107" s="26"/>
      <c r="E107" s="26"/>
      <c r="F107" s="26"/>
      <c r="G107" s="26"/>
      <c r="H107" s="26"/>
      <c r="I107" s="26"/>
      <c r="J107" s="26"/>
      <c r="K107" s="26"/>
      <c r="L107" s="26"/>
      <c r="M107" s="26"/>
      <c r="N107" s="26"/>
      <c r="O107" s="26"/>
      <c r="P107" s="26"/>
      <c r="Q107" s="26"/>
      <c r="R107" s="26"/>
      <c r="S107" s="26"/>
      <c r="T107" s="26"/>
    </row>
    <row r="108" spans="1:20" x14ac:dyDescent="0.25">
      <c r="A108" s="26"/>
      <c r="B108" s="26"/>
      <c r="C108" s="26"/>
      <c r="D108" s="26"/>
      <c r="E108" s="26"/>
      <c r="F108" s="26"/>
      <c r="G108" s="26"/>
      <c r="H108" s="26"/>
      <c r="I108" s="26"/>
      <c r="J108" s="26"/>
      <c r="K108" s="26"/>
      <c r="L108" s="26"/>
      <c r="M108" s="26"/>
      <c r="N108" s="26"/>
      <c r="O108" s="26"/>
      <c r="P108" s="26"/>
      <c r="Q108" s="26"/>
      <c r="R108" s="26"/>
      <c r="S108" s="26"/>
      <c r="T108" s="26"/>
    </row>
    <row r="109" spans="1:20" x14ac:dyDescent="0.25">
      <c r="A109" s="26"/>
      <c r="B109" s="26"/>
      <c r="C109" s="26"/>
      <c r="D109" s="26"/>
      <c r="E109" s="26"/>
      <c r="F109" s="26"/>
      <c r="G109" s="26"/>
      <c r="H109" s="26"/>
      <c r="I109" s="26"/>
      <c r="J109" s="26"/>
      <c r="K109" s="26"/>
      <c r="L109" s="26"/>
      <c r="M109" s="26"/>
      <c r="N109" s="26"/>
      <c r="O109" s="26"/>
      <c r="P109" s="26"/>
      <c r="Q109" s="26"/>
      <c r="R109" s="26"/>
      <c r="S109" s="26"/>
      <c r="T109" s="26"/>
    </row>
    <row r="110" spans="1:20" x14ac:dyDescent="0.25">
      <c r="A110" s="26"/>
      <c r="B110" s="26"/>
      <c r="C110" s="26"/>
      <c r="D110" s="26"/>
      <c r="E110" s="26"/>
      <c r="F110" s="26"/>
      <c r="G110" s="26"/>
      <c r="H110" s="26"/>
      <c r="I110" s="26"/>
      <c r="J110" s="26"/>
      <c r="K110" s="26"/>
      <c r="L110" s="26"/>
      <c r="M110" s="26"/>
      <c r="N110" s="26"/>
      <c r="O110" s="26"/>
      <c r="P110" s="26"/>
      <c r="Q110" s="26"/>
      <c r="R110" s="26"/>
      <c r="S110" s="26"/>
      <c r="T110" s="26"/>
    </row>
    <row r="111" spans="1:20" x14ac:dyDescent="0.25">
      <c r="A111" s="26"/>
      <c r="B111" s="26"/>
      <c r="C111" s="26"/>
      <c r="D111" s="26"/>
      <c r="E111" s="26"/>
      <c r="F111" s="26"/>
      <c r="G111" s="26"/>
      <c r="H111" s="26"/>
      <c r="I111" s="26"/>
      <c r="J111" s="26"/>
      <c r="K111" s="26"/>
      <c r="L111" s="26"/>
      <c r="M111" s="26"/>
      <c r="N111" s="26"/>
      <c r="O111" s="26"/>
      <c r="P111" s="26"/>
      <c r="Q111" s="26"/>
      <c r="R111" s="26"/>
      <c r="S111" s="26"/>
      <c r="T111" s="26"/>
    </row>
    <row r="112" spans="1:20" x14ac:dyDescent="0.25">
      <c r="A112" s="26"/>
      <c r="B112" s="26"/>
      <c r="C112" s="26"/>
      <c r="D112" s="26"/>
      <c r="E112" s="26"/>
      <c r="F112" s="26"/>
      <c r="G112" s="26"/>
      <c r="H112" s="26"/>
      <c r="I112" s="26"/>
      <c r="J112" s="26"/>
      <c r="K112" s="26"/>
      <c r="L112" s="26"/>
      <c r="M112" s="26"/>
      <c r="N112" s="26"/>
      <c r="O112" s="26"/>
      <c r="P112" s="26"/>
      <c r="Q112" s="26"/>
      <c r="R112" s="26"/>
      <c r="S112" s="26"/>
      <c r="T112" s="26"/>
    </row>
    <row r="113" spans="1:20" x14ac:dyDescent="0.25">
      <c r="A113" s="26"/>
      <c r="B113" s="26"/>
      <c r="C113" s="26"/>
      <c r="D113" s="26"/>
      <c r="E113" s="26"/>
      <c r="F113" s="26"/>
      <c r="G113" s="26"/>
      <c r="H113" s="26"/>
      <c r="I113" s="26"/>
      <c r="J113" s="26"/>
      <c r="K113" s="26"/>
      <c r="L113" s="26"/>
      <c r="M113" s="26"/>
      <c r="N113" s="26"/>
      <c r="O113" s="26"/>
      <c r="P113" s="26"/>
      <c r="Q113" s="26"/>
      <c r="R113" s="26"/>
      <c r="S113" s="26"/>
      <c r="T113" s="26"/>
    </row>
    <row r="114" spans="1:20" x14ac:dyDescent="0.25">
      <c r="A114" s="26"/>
      <c r="B114" s="26"/>
      <c r="C114" s="26"/>
      <c r="D114" s="26"/>
      <c r="E114" s="26"/>
      <c r="F114" s="26"/>
      <c r="G114" s="26"/>
      <c r="H114" s="26"/>
      <c r="I114" s="26"/>
      <c r="J114" s="26"/>
      <c r="K114" s="26"/>
      <c r="L114" s="26"/>
      <c r="M114" s="26"/>
      <c r="N114" s="26"/>
      <c r="O114" s="26"/>
      <c r="P114" s="26"/>
      <c r="Q114" s="26"/>
      <c r="R114" s="26"/>
      <c r="S114" s="26"/>
      <c r="T114" s="26"/>
    </row>
    <row r="115" spans="1:20" x14ac:dyDescent="0.25">
      <c r="A115" s="26"/>
      <c r="B115" s="26"/>
      <c r="C115" s="26"/>
      <c r="D115" s="26"/>
      <c r="E115" s="26"/>
      <c r="F115" s="26"/>
      <c r="G115" s="26"/>
      <c r="H115" s="26"/>
      <c r="I115" s="26"/>
      <c r="J115" s="26"/>
      <c r="K115" s="26"/>
      <c r="L115" s="26"/>
      <c r="M115" s="26"/>
      <c r="N115" s="26"/>
      <c r="O115" s="26"/>
      <c r="P115" s="26"/>
      <c r="Q115" s="26"/>
      <c r="R115" s="26"/>
      <c r="S115" s="26"/>
      <c r="T115" s="26"/>
    </row>
    <row r="116" spans="1:20" x14ac:dyDescent="0.25">
      <c r="A116" s="26"/>
      <c r="B116" s="26"/>
      <c r="C116" s="26"/>
      <c r="D116" s="26"/>
      <c r="E116" s="26"/>
      <c r="F116" s="26"/>
      <c r="G116" s="26"/>
      <c r="H116" s="26"/>
      <c r="I116" s="26"/>
      <c r="J116" s="26"/>
      <c r="K116" s="26"/>
      <c r="L116" s="26"/>
      <c r="M116" s="26"/>
      <c r="N116" s="26"/>
      <c r="O116" s="26"/>
      <c r="P116" s="26"/>
      <c r="Q116" s="26"/>
      <c r="R116" s="26"/>
      <c r="S116" s="26"/>
      <c r="T116" s="26"/>
    </row>
    <row r="117" spans="1:20" x14ac:dyDescent="0.25">
      <c r="A117" s="26"/>
      <c r="B117" s="26"/>
      <c r="C117" s="26"/>
      <c r="D117" s="26"/>
      <c r="E117" s="26"/>
      <c r="F117" s="26"/>
      <c r="G117" s="26"/>
      <c r="H117" s="26"/>
      <c r="I117" s="26"/>
      <c r="J117" s="26"/>
      <c r="K117" s="26"/>
      <c r="L117" s="26"/>
      <c r="M117" s="26"/>
      <c r="N117" s="26"/>
      <c r="O117" s="26"/>
      <c r="P117" s="26"/>
      <c r="Q117" s="26"/>
      <c r="R117" s="26"/>
      <c r="S117" s="26"/>
      <c r="T117" s="26"/>
    </row>
    <row r="118" spans="1:20" x14ac:dyDescent="0.25">
      <c r="A118" s="26"/>
      <c r="B118" s="26"/>
      <c r="C118" s="26"/>
      <c r="D118" s="26"/>
      <c r="E118" s="26"/>
      <c r="F118" s="26"/>
      <c r="G118" s="26"/>
      <c r="H118" s="26"/>
      <c r="I118" s="26"/>
      <c r="J118" s="26"/>
      <c r="K118" s="26"/>
      <c r="L118" s="26"/>
      <c r="M118" s="26"/>
      <c r="N118" s="26"/>
      <c r="O118" s="26"/>
      <c r="P118" s="26"/>
      <c r="Q118" s="26"/>
      <c r="R118" s="26"/>
      <c r="S118" s="26"/>
      <c r="T118" s="26"/>
    </row>
    <row r="119" spans="1:20" x14ac:dyDescent="0.25">
      <c r="A119" s="26"/>
      <c r="B119" s="26"/>
      <c r="C119" s="26"/>
      <c r="D119" s="26"/>
      <c r="E119" s="26"/>
      <c r="F119" s="26"/>
      <c r="G119" s="26"/>
      <c r="H119" s="26"/>
      <c r="I119" s="26"/>
      <c r="J119" s="26"/>
      <c r="K119" s="26"/>
      <c r="L119" s="26"/>
      <c r="M119" s="26"/>
      <c r="N119" s="26"/>
      <c r="O119" s="26"/>
      <c r="P119" s="26"/>
      <c r="Q119" s="26"/>
      <c r="R119" s="26"/>
      <c r="S119" s="26"/>
      <c r="T119" s="26"/>
    </row>
    <row r="120" spans="1:20" x14ac:dyDescent="0.25">
      <c r="A120" s="26"/>
      <c r="B120" s="26"/>
      <c r="C120" s="26"/>
      <c r="D120" s="26"/>
      <c r="E120" s="26"/>
      <c r="F120" s="26"/>
      <c r="G120" s="26"/>
      <c r="H120" s="26"/>
      <c r="I120" s="26"/>
      <c r="J120" s="26"/>
      <c r="K120" s="26"/>
      <c r="L120" s="26"/>
      <c r="M120" s="26"/>
      <c r="N120" s="26"/>
      <c r="O120" s="26"/>
      <c r="P120" s="26"/>
      <c r="Q120" s="26"/>
      <c r="R120" s="26"/>
      <c r="S120" s="26"/>
      <c r="T120" s="26"/>
    </row>
    <row r="121" spans="1:20" x14ac:dyDescent="0.25">
      <c r="A121" s="26"/>
      <c r="B121" s="26"/>
      <c r="C121" s="26"/>
      <c r="D121" s="26"/>
      <c r="E121" s="26"/>
      <c r="F121" s="26"/>
      <c r="G121" s="26"/>
      <c r="H121" s="26"/>
      <c r="I121" s="26"/>
      <c r="J121" s="26"/>
      <c r="K121" s="26"/>
      <c r="L121" s="26"/>
      <c r="M121" s="26"/>
      <c r="N121" s="26"/>
      <c r="O121" s="26"/>
      <c r="P121" s="26"/>
      <c r="Q121" s="26"/>
      <c r="R121" s="26"/>
      <c r="S121" s="26"/>
      <c r="T121" s="26"/>
    </row>
    <row r="122" spans="1:20" x14ac:dyDescent="0.25">
      <c r="A122" s="26"/>
      <c r="B122" s="26"/>
      <c r="C122" s="26"/>
      <c r="D122" s="26"/>
      <c r="E122" s="26"/>
      <c r="F122" s="26"/>
      <c r="G122" s="26"/>
      <c r="H122" s="26"/>
      <c r="I122" s="26"/>
      <c r="J122" s="26"/>
      <c r="K122" s="26"/>
      <c r="L122" s="26"/>
      <c r="M122" s="26"/>
      <c r="N122" s="26"/>
      <c r="O122" s="26"/>
      <c r="P122" s="26"/>
      <c r="Q122" s="26"/>
      <c r="R122" s="26"/>
      <c r="S122" s="26"/>
      <c r="T122" s="26"/>
    </row>
    <row r="123" spans="1:20" x14ac:dyDescent="0.25">
      <c r="A123" s="26"/>
      <c r="B123" s="26"/>
      <c r="C123" s="26"/>
      <c r="D123" s="26"/>
      <c r="E123" s="26"/>
      <c r="F123" s="26"/>
      <c r="G123" s="26"/>
      <c r="H123" s="26"/>
      <c r="I123" s="26"/>
      <c r="J123" s="26"/>
      <c r="K123" s="26"/>
      <c r="L123" s="26"/>
      <c r="M123" s="26"/>
      <c r="N123" s="26"/>
      <c r="O123" s="26"/>
      <c r="P123" s="26"/>
      <c r="Q123" s="26"/>
      <c r="R123" s="26"/>
      <c r="S123" s="26"/>
      <c r="T123" s="26"/>
    </row>
    <row r="124" spans="1:20" x14ac:dyDescent="0.25">
      <c r="A124" s="26"/>
      <c r="B124" s="26"/>
      <c r="C124" s="26"/>
      <c r="D124" s="26"/>
      <c r="E124" s="26"/>
      <c r="F124" s="26"/>
      <c r="G124" s="26"/>
      <c r="H124" s="26"/>
      <c r="I124" s="26"/>
      <c r="J124" s="26"/>
      <c r="K124" s="26"/>
      <c r="L124" s="26"/>
      <c r="M124" s="26"/>
      <c r="N124" s="26"/>
      <c r="O124" s="26"/>
      <c r="P124" s="26"/>
      <c r="Q124" s="26"/>
      <c r="R124" s="26"/>
      <c r="S124" s="26"/>
      <c r="T124" s="26"/>
    </row>
    <row r="125" spans="1:20" x14ac:dyDescent="0.25">
      <c r="A125" s="26"/>
      <c r="B125" s="26"/>
      <c r="C125" s="26"/>
      <c r="D125" s="26"/>
      <c r="E125" s="26"/>
      <c r="F125" s="26"/>
      <c r="G125" s="26"/>
      <c r="H125" s="26"/>
      <c r="I125" s="26"/>
      <c r="J125" s="26"/>
      <c r="K125" s="26"/>
      <c r="L125" s="26"/>
      <c r="M125" s="26"/>
      <c r="N125" s="26"/>
      <c r="O125" s="26"/>
      <c r="P125" s="26"/>
      <c r="Q125" s="26"/>
      <c r="R125" s="26"/>
      <c r="S125" s="26"/>
      <c r="T125" s="26"/>
    </row>
    <row r="126" spans="1:20" x14ac:dyDescent="0.25">
      <c r="A126" s="26"/>
      <c r="B126" s="26"/>
      <c r="C126" s="26"/>
      <c r="D126" s="26"/>
      <c r="E126" s="26"/>
      <c r="F126" s="26"/>
      <c r="G126" s="26"/>
      <c r="H126" s="26"/>
      <c r="I126" s="26"/>
      <c r="J126" s="26"/>
      <c r="K126" s="26"/>
      <c r="L126" s="26"/>
      <c r="M126" s="26"/>
      <c r="N126" s="26"/>
      <c r="O126" s="26"/>
      <c r="P126" s="26"/>
      <c r="Q126" s="26"/>
      <c r="R126" s="26"/>
      <c r="S126" s="26"/>
      <c r="T126" s="26"/>
    </row>
    <row r="127" spans="1:20" x14ac:dyDescent="0.25">
      <c r="A127" s="26"/>
      <c r="B127" s="26"/>
      <c r="C127" s="26"/>
      <c r="D127" s="26"/>
      <c r="E127" s="26"/>
      <c r="F127" s="26"/>
      <c r="G127" s="26"/>
      <c r="H127" s="26"/>
      <c r="I127" s="26"/>
      <c r="J127" s="26"/>
      <c r="K127" s="26"/>
      <c r="L127" s="26"/>
      <c r="M127" s="26"/>
      <c r="N127" s="26"/>
      <c r="O127" s="26"/>
      <c r="P127" s="26"/>
      <c r="Q127" s="26"/>
      <c r="R127" s="26"/>
      <c r="S127" s="26"/>
      <c r="T127" s="26"/>
    </row>
    <row r="128" spans="1:20" x14ac:dyDescent="0.25">
      <c r="A128" s="26"/>
      <c r="B128" s="26"/>
      <c r="C128" s="26"/>
      <c r="D128" s="26"/>
      <c r="E128" s="26"/>
      <c r="F128" s="26"/>
      <c r="G128" s="26"/>
      <c r="H128" s="26"/>
      <c r="I128" s="26"/>
      <c r="J128" s="26"/>
      <c r="K128" s="26"/>
      <c r="L128" s="26"/>
      <c r="M128" s="26"/>
      <c r="N128" s="26"/>
      <c r="O128" s="26"/>
      <c r="P128" s="26"/>
      <c r="Q128" s="26"/>
      <c r="R128" s="26"/>
      <c r="S128" s="26"/>
      <c r="T128" s="26"/>
    </row>
    <row r="129" spans="1:20" x14ac:dyDescent="0.25">
      <c r="A129" s="26"/>
      <c r="B129" s="26"/>
      <c r="C129" s="26"/>
      <c r="D129" s="26"/>
      <c r="E129" s="26"/>
      <c r="F129" s="26"/>
      <c r="G129" s="26"/>
      <c r="H129" s="26"/>
      <c r="I129" s="26"/>
      <c r="J129" s="26"/>
      <c r="K129" s="26"/>
      <c r="L129" s="26"/>
      <c r="M129" s="26"/>
      <c r="N129" s="26"/>
      <c r="O129" s="26"/>
      <c r="P129" s="26"/>
      <c r="Q129" s="26"/>
      <c r="R129" s="26"/>
      <c r="S129" s="26"/>
      <c r="T129" s="26"/>
    </row>
    <row r="130" spans="1:20" x14ac:dyDescent="0.25">
      <c r="A130" s="26"/>
      <c r="B130" s="26"/>
      <c r="C130" s="26"/>
      <c r="D130" s="26"/>
      <c r="E130" s="26"/>
      <c r="F130" s="26"/>
      <c r="G130" s="26"/>
      <c r="H130" s="26"/>
      <c r="I130" s="26"/>
      <c r="J130" s="26"/>
      <c r="K130" s="26"/>
      <c r="L130" s="26"/>
      <c r="M130" s="26"/>
      <c r="N130" s="26"/>
      <c r="O130" s="26"/>
      <c r="P130" s="26"/>
      <c r="Q130" s="26"/>
      <c r="R130" s="26"/>
      <c r="S130" s="26"/>
      <c r="T130" s="26"/>
    </row>
    <row r="131" spans="1:20" x14ac:dyDescent="0.25">
      <c r="A131" s="26"/>
      <c r="B131" s="26"/>
      <c r="C131" s="26"/>
      <c r="D131" s="26"/>
      <c r="E131" s="26"/>
      <c r="F131" s="26"/>
      <c r="G131" s="26"/>
      <c r="H131" s="26"/>
      <c r="I131" s="26"/>
      <c r="J131" s="26"/>
      <c r="K131" s="26"/>
      <c r="L131" s="26"/>
      <c r="M131" s="26"/>
      <c r="N131" s="26"/>
      <c r="O131" s="26"/>
      <c r="P131" s="26"/>
      <c r="Q131" s="26"/>
      <c r="R131" s="26"/>
      <c r="S131" s="26"/>
      <c r="T131" s="26"/>
    </row>
    <row r="132" spans="1:20" x14ac:dyDescent="0.25">
      <c r="M132" s="26"/>
      <c r="N132" s="26"/>
      <c r="O132" s="26"/>
      <c r="P132" s="26"/>
      <c r="Q132" s="26"/>
      <c r="R132" s="26"/>
      <c r="S132" s="26"/>
      <c r="T132" s="26"/>
    </row>
    <row r="133" spans="1:20" x14ac:dyDescent="0.25">
      <c r="M133" s="26"/>
      <c r="N133" s="26"/>
      <c r="O133" s="26"/>
      <c r="P133" s="26"/>
      <c r="Q133" s="26"/>
      <c r="R133" s="26"/>
      <c r="S133" s="26"/>
      <c r="T133" s="26"/>
    </row>
    <row r="134" spans="1:20" x14ac:dyDescent="0.25">
      <c r="M134" s="26"/>
      <c r="N134" s="26"/>
      <c r="O134" s="26"/>
      <c r="P134" s="26"/>
      <c r="Q134" s="26"/>
      <c r="R134" s="26"/>
      <c r="S134" s="26"/>
      <c r="T134" s="26"/>
    </row>
    <row r="135" spans="1:20" x14ac:dyDescent="0.25">
      <c r="M135" s="26"/>
      <c r="N135" s="26"/>
      <c r="O135" s="26"/>
      <c r="P135" s="26"/>
      <c r="Q135" s="26"/>
      <c r="R135" s="26"/>
      <c r="S135" s="26"/>
      <c r="T135" s="26"/>
    </row>
    <row r="136" spans="1:20" x14ac:dyDescent="0.25">
      <c r="M136" s="26"/>
      <c r="N136" s="26"/>
      <c r="O136" s="26"/>
      <c r="P136" s="26"/>
      <c r="Q136" s="26"/>
      <c r="R136" s="26"/>
      <c r="S136" s="26"/>
      <c r="T136" s="26"/>
    </row>
  </sheetData>
  <sheetProtection algorithmName="SHA-512" hashValue="66vH01y1eflg/kfMOnUq+b3RsX+NNHbCrd6qeN0D/rkqtIslaqU1QyQmdz173LJwp04nJy2KfOBisXwZQYCS/A==" saltValue="d3U1o5dBiE7lTw6ERsxL6g==" spinCount="100000" sheet="1" objects="1" scenarios="1"/>
  <autoFilter ref="C4:M85" xr:uid="{E552320D-03F4-40A5-8ECA-D756F1A8018E}"/>
  <mergeCells count="11">
    <mergeCell ref="B1:N2"/>
    <mergeCell ref="N3:N5"/>
    <mergeCell ref="C3:F3"/>
    <mergeCell ref="B3:B5"/>
    <mergeCell ref="M4:M5"/>
    <mergeCell ref="L4:L5"/>
    <mergeCell ref="F4:F5"/>
    <mergeCell ref="E4:E5"/>
    <mergeCell ref="D4:D5"/>
    <mergeCell ref="C4:C5"/>
    <mergeCell ref="G3:M3"/>
  </mergeCells>
  <conditionalFormatting sqref="E91:E106">
    <cfRule type="cellIs" dxfId="0" priority="1" operator="equal">
      <formula>"Enhancement not possible"</formula>
    </cfRule>
  </conditionalFormatting>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2FE4-6CB4-4202-B14F-392921DBB553}">
  <sheetPr codeName="Sheet2">
    <tabColor rgb="FF005E5C"/>
  </sheetPr>
  <dimension ref="A1:XFC416"/>
  <sheetViews>
    <sheetView zoomScale="80" zoomScaleNormal="80" workbookViewId="0">
      <selection activeCell="AA8" sqref="AA8"/>
    </sheetView>
  </sheetViews>
  <sheetFormatPr defaultColWidth="0" defaultRowHeight="15" zeroHeight="1" x14ac:dyDescent="0.25"/>
  <cols>
    <col min="1" max="1" width="25.28515625" customWidth="1"/>
    <col min="2" max="2" width="8.85546875" customWidth="1"/>
    <col min="3" max="3" width="42" customWidth="1"/>
    <col min="4" max="4" width="18.85546875" customWidth="1"/>
    <col min="5" max="5" width="32.42578125" customWidth="1"/>
    <col min="6" max="6" width="19.5703125" customWidth="1"/>
    <col min="7" max="7" width="32" bestFit="1" customWidth="1"/>
    <col min="8" max="8" width="8.85546875" customWidth="1"/>
    <col min="9" max="9" width="82.42578125" bestFit="1" customWidth="1"/>
    <col min="10" max="10" width="13.85546875" customWidth="1"/>
    <col min="11" max="11" width="35.28515625" bestFit="1" customWidth="1"/>
    <col min="12" max="12" width="8.85546875" customWidth="1"/>
    <col min="13" max="13" width="48.5703125" bestFit="1" customWidth="1"/>
    <col min="14" max="14" width="8.85546875" customWidth="1"/>
    <col min="15" max="15" width="33.5703125" bestFit="1" customWidth="1"/>
    <col min="16" max="16" width="8.85546875" customWidth="1"/>
    <col min="17" max="17" width="44" customWidth="1"/>
    <col min="18" max="18" width="8.85546875" customWidth="1"/>
    <col min="19" max="19" width="35.7109375" bestFit="1" customWidth="1"/>
    <col min="20" max="20" width="8.85546875" customWidth="1"/>
    <col min="21" max="21" width="61.5703125" customWidth="1"/>
    <col min="22" max="22" width="12" bestFit="1" customWidth="1"/>
    <col min="23" max="23" width="81.7109375" bestFit="1" customWidth="1"/>
    <col min="24" max="24" width="61.28515625" bestFit="1" customWidth="1"/>
    <col min="25" max="25" width="47.85546875" bestFit="1" customWidth="1"/>
    <col min="26" max="26" width="17" bestFit="1" customWidth="1"/>
    <col min="27" max="27" width="48.140625" customWidth="1"/>
    <col min="28" max="28" width="17" bestFit="1" customWidth="1"/>
    <col min="29" max="29" width="48.140625" customWidth="1"/>
    <col min="30" max="16383" width="8.85546875" hidden="1"/>
    <col min="16384" max="16384" width="2.7109375" hidden="1"/>
  </cols>
  <sheetData>
    <row r="1" spans="1:29" x14ac:dyDescent="0.25">
      <c r="A1" s="66" t="s">
        <v>337</v>
      </c>
      <c r="B1" s="26"/>
      <c r="C1" s="66" t="s">
        <v>174</v>
      </c>
      <c r="D1" s="26"/>
      <c r="E1" s="66" t="s">
        <v>178</v>
      </c>
      <c r="F1" s="26"/>
      <c r="G1" s="66" t="s">
        <v>338</v>
      </c>
      <c r="H1" s="26"/>
      <c r="I1" s="66" t="s">
        <v>339</v>
      </c>
      <c r="J1" s="26"/>
      <c r="K1" s="66" t="s">
        <v>340</v>
      </c>
      <c r="L1" s="26"/>
      <c r="M1" s="66" t="s">
        <v>182</v>
      </c>
      <c r="N1" s="26"/>
      <c r="O1" s="66" t="s">
        <v>341</v>
      </c>
      <c r="P1" s="26"/>
      <c r="Q1" s="66" t="s">
        <v>79</v>
      </c>
      <c r="R1" s="26"/>
      <c r="S1" s="66" t="s">
        <v>342</v>
      </c>
      <c r="T1" s="26"/>
      <c r="U1" s="66" t="s">
        <v>962</v>
      </c>
      <c r="V1" s="26"/>
      <c r="W1" s="66" t="s">
        <v>343</v>
      </c>
      <c r="X1" s="26"/>
      <c r="Y1" s="66" t="s">
        <v>199</v>
      </c>
      <c r="Z1" s="26"/>
      <c r="AA1" s="66" t="s">
        <v>963</v>
      </c>
      <c r="AB1" s="26"/>
      <c r="AC1" s="66" t="s">
        <v>964</v>
      </c>
    </row>
    <row r="2" spans="1:29" x14ac:dyDescent="0.25">
      <c r="A2" s="65" t="s">
        <v>174</v>
      </c>
      <c r="B2" s="26"/>
      <c r="C2" s="18" t="s">
        <v>228</v>
      </c>
      <c r="D2" s="26"/>
      <c r="E2" s="65" t="s">
        <v>240</v>
      </c>
      <c r="F2" s="26"/>
      <c r="G2" s="65" t="s">
        <v>245</v>
      </c>
      <c r="H2" s="26"/>
      <c r="I2" s="65" t="s">
        <v>286</v>
      </c>
      <c r="J2" s="26"/>
      <c r="K2" s="65" t="s">
        <v>283</v>
      </c>
      <c r="L2" s="26"/>
      <c r="M2" s="65" t="s">
        <v>253</v>
      </c>
      <c r="N2" s="26"/>
      <c r="O2" s="65" t="s">
        <v>257</v>
      </c>
      <c r="P2" s="26"/>
      <c r="Q2" s="65" t="s">
        <v>259</v>
      </c>
      <c r="R2" s="26"/>
      <c r="S2" s="65" t="s">
        <v>279</v>
      </c>
      <c r="T2" s="26"/>
      <c r="U2" s="65" t="s">
        <v>935</v>
      </c>
      <c r="V2" s="26"/>
      <c r="W2" s="65" t="s">
        <v>198</v>
      </c>
      <c r="X2" s="26"/>
      <c r="Y2" s="65" t="s">
        <v>298</v>
      </c>
      <c r="Z2" s="26"/>
      <c r="AA2" s="343" t="s">
        <v>284</v>
      </c>
      <c r="AB2" s="26"/>
      <c r="AC2" s="431" t="s">
        <v>950</v>
      </c>
    </row>
    <row r="3" spans="1:29" x14ac:dyDescent="0.25">
      <c r="A3" s="65" t="s">
        <v>178</v>
      </c>
      <c r="B3" s="26"/>
      <c r="C3" s="18" t="s">
        <v>230</v>
      </c>
      <c r="D3" s="26"/>
      <c r="E3" s="65" t="s">
        <v>241</v>
      </c>
      <c r="F3" s="26"/>
      <c r="G3" s="65" t="s">
        <v>246</v>
      </c>
      <c r="H3" s="26"/>
      <c r="I3" s="65" t="s">
        <v>837</v>
      </c>
      <c r="J3" s="26"/>
      <c r="K3" s="65" t="s">
        <v>327</v>
      </c>
      <c r="L3" s="26"/>
      <c r="M3" s="65" t="s">
        <v>931</v>
      </c>
      <c r="N3" s="26"/>
      <c r="O3" s="67" t="s">
        <v>258</v>
      </c>
      <c r="P3" s="26"/>
      <c r="Q3" s="65" t="s">
        <v>260</v>
      </c>
      <c r="R3" s="26"/>
      <c r="S3" s="65" t="s">
        <v>922</v>
      </c>
      <c r="T3" s="26"/>
      <c r="U3" s="65" t="s">
        <v>936</v>
      </c>
      <c r="V3" s="26"/>
      <c r="W3" s="65" t="s">
        <v>943</v>
      </c>
      <c r="X3" s="26"/>
      <c r="Y3" s="65" t="s">
        <v>299</v>
      </c>
      <c r="Z3" s="26"/>
      <c r="AA3" s="343"/>
      <c r="AB3" s="26"/>
      <c r="AC3" s="343"/>
    </row>
    <row r="4" spans="1:29" x14ac:dyDescent="0.25">
      <c r="A4" s="65" t="s">
        <v>179</v>
      </c>
      <c r="B4" s="26"/>
      <c r="C4" s="18" t="s">
        <v>928</v>
      </c>
      <c r="D4" s="26"/>
      <c r="E4" s="65" t="s">
        <v>242</v>
      </c>
      <c r="F4" s="26"/>
      <c r="G4" s="65" t="s">
        <v>247</v>
      </c>
      <c r="H4" s="26"/>
      <c r="I4" s="65" t="s">
        <v>958</v>
      </c>
      <c r="J4" s="26"/>
      <c r="K4" s="65" t="s">
        <v>328</v>
      </c>
      <c r="L4" s="26"/>
      <c r="M4" s="67" t="s">
        <v>256</v>
      </c>
      <c r="N4" s="26"/>
      <c r="O4" s="343" t="s">
        <v>941</v>
      </c>
      <c r="P4" s="26"/>
      <c r="Q4" s="65" t="s">
        <v>263</v>
      </c>
      <c r="R4" s="26"/>
      <c r="S4" s="65" t="s">
        <v>281</v>
      </c>
      <c r="T4" s="26"/>
      <c r="U4" s="65" t="s">
        <v>937</v>
      </c>
      <c r="V4" s="26"/>
      <c r="W4" s="65" t="s">
        <v>944</v>
      </c>
      <c r="X4" s="26"/>
      <c r="Y4" s="65" t="s">
        <v>296</v>
      </c>
      <c r="Z4" s="26"/>
      <c r="AA4" s="18"/>
      <c r="AB4" s="26"/>
      <c r="AC4" s="18"/>
    </row>
    <row r="5" spans="1:29" x14ac:dyDescent="0.25">
      <c r="A5" s="65" t="s">
        <v>959</v>
      </c>
      <c r="B5" s="26"/>
      <c r="C5" s="18" t="s">
        <v>232</v>
      </c>
      <c r="D5" s="26"/>
      <c r="E5" s="65" t="s">
        <v>243</v>
      </c>
      <c r="F5" s="26"/>
      <c r="G5" s="65" t="s">
        <v>248</v>
      </c>
      <c r="H5" s="26"/>
      <c r="I5" s="18"/>
      <c r="J5" s="26"/>
      <c r="K5" s="65" t="s">
        <v>329</v>
      </c>
      <c r="L5" s="26"/>
      <c r="M5" s="18"/>
      <c r="N5" s="26"/>
      <c r="O5" s="18"/>
      <c r="P5" s="26"/>
      <c r="Q5" s="65" t="s">
        <v>264</v>
      </c>
      <c r="R5" s="26"/>
      <c r="S5" s="65" t="s">
        <v>282</v>
      </c>
      <c r="T5" s="26"/>
      <c r="U5" s="65" t="s">
        <v>938</v>
      </c>
      <c r="V5" s="26"/>
      <c r="W5" s="65" t="s">
        <v>945</v>
      </c>
      <c r="X5" s="26"/>
      <c r="Y5" s="65"/>
      <c r="Z5" s="26"/>
      <c r="AA5" s="18"/>
      <c r="AB5" s="26"/>
      <c r="AC5" s="18"/>
    </row>
    <row r="6" spans="1:29" x14ac:dyDescent="0.25">
      <c r="A6" s="65" t="s">
        <v>181</v>
      </c>
      <c r="B6" s="26"/>
      <c r="C6" s="18" t="s">
        <v>233</v>
      </c>
      <c r="D6" s="26"/>
      <c r="E6" s="67" t="s">
        <v>244</v>
      </c>
      <c r="F6" s="26"/>
      <c r="G6" s="65" t="s">
        <v>249</v>
      </c>
      <c r="H6" s="26"/>
      <c r="I6" s="18"/>
      <c r="J6" s="26"/>
      <c r="K6" s="65" t="s">
        <v>330</v>
      </c>
      <c r="L6" s="26"/>
      <c r="M6" s="18"/>
      <c r="N6" s="26"/>
      <c r="O6" s="18"/>
      <c r="P6" s="26"/>
      <c r="Q6" s="65" t="s">
        <v>265</v>
      </c>
      <c r="R6" s="26"/>
      <c r="S6" s="18"/>
      <c r="T6" s="26"/>
      <c r="U6" s="65" t="s">
        <v>939</v>
      </c>
      <c r="V6" s="26"/>
      <c r="W6" s="18"/>
      <c r="X6" s="26"/>
      <c r="Y6" s="65"/>
      <c r="Z6" s="26"/>
      <c r="AA6" s="18"/>
      <c r="AB6" s="26"/>
      <c r="AC6" s="18"/>
    </row>
    <row r="7" spans="1:29" x14ac:dyDescent="0.25">
      <c r="A7" s="65" t="s">
        <v>182</v>
      </c>
      <c r="B7" s="26"/>
      <c r="C7" s="18" t="s">
        <v>929</v>
      </c>
      <c r="D7" s="26"/>
      <c r="E7" s="18"/>
      <c r="F7" s="26"/>
      <c r="G7" s="65" t="s">
        <v>250</v>
      </c>
      <c r="H7" s="26"/>
      <c r="I7" s="18"/>
      <c r="J7" s="26"/>
      <c r="K7" s="65" t="s">
        <v>331</v>
      </c>
      <c r="L7" s="26"/>
      <c r="M7" s="18"/>
      <c r="N7" s="26"/>
      <c r="O7" s="18"/>
      <c r="P7" s="26"/>
      <c r="Q7" s="65" t="s">
        <v>266</v>
      </c>
      <c r="R7" s="26"/>
      <c r="S7" s="18"/>
      <c r="T7" s="26"/>
      <c r="U7" s="65" t="s">
        <v>198</v>
      </c>
      <c r="V7" s="26"/>
      <c r="W7" s="18"/>
      <c r="X7" s="26"/>
      <c r="Y7" s="65"/>
      <c r="Z7" s="26"/>
      <c r="AA7" s="18"/>
      <c r="AB7" s="26"/>
      <c r="AC7" s="18"/>
    </row>
    <row r="8" spans="1:29" x14ac:dyDescent="0.25">
      <c r="A8" s="65" t="s">
        <v>183</v>
      </c>
      <c r="B8" s="26"/>
      <c r="C8" s="18" t="s">
        <v>236</v>
      </c>
      <c r="D8" s="26"/>
      <c r="E8" s="18"/>
      <c r="F8" s="26"/>
      <c r="G8" s="65" t="s">
        <v>251</v>
      </c>
      <c r="H8" s="26"/>
      <c r="I8" s="18"/>
      <c r="J8" s="26"/>
      <c r="K8" s="67" t="s">
        <v>332</v>
      </c>
      <c r="L8" s="26"/>
      <c r="M8" s="18"/>
      <c r="N8" s="26"/>
      <c r="O8" s="18"/>
      <c r="P8" s="26"/>
      <c r="Q8" s="65" t="s">
        <v>267</v>
      </c>
      <c r="R8" s="26"/>
      <c r="S8" s="18"/>
      <c r="T8" s="26"/>
      <c r="U8" s="65" t="s">
        <v>943</v>
      </c>
      <c r="V8" s="26"/>
      <c r="W8" s="18"/>
      <c r="X8" s="26"/>
      <c r="Y8" s="65"/>
      <c r="Z8" s="26"/>
      <c r="AA8" s="18"/>
      <c r="AB8" s="26"/>
      <c r="AC8" s="18"/>
    </row>
    <row r="9" spans="1:29" x14ac:dyDescent="0.25">
      <c r="A9" s="65" t="s">
        <v>79</v>
      </c>
      <c r="B9" s="26"/>
      <c r="C9" s="18" t="s">
        <v>237</v>
      </c>
      <c r="D9" s="26"/>
      <c r="E9" s="18"/>
      <c r="F9" s="26"/>
      <c r="G9" s="67" t="s">
        <v>930</v>
      </c>
      <c r="H9" s="26"/>
      <c r="I9" s="18"/>
      <c r="J9" s="26"/>
      <c r="K9" s="65" t="s">
        <v>333</v>
      </c>
      <c r="L9" s="26"/>
      <c r="M9" s="18"/>
      <c r="N9" s="26"/>
      <c r="O9" s="18"/>
      <c r="P9" s="26"/>
      <c r="Q9" s="65" t="s">
        <v>272</v>
      </c>
      <c r="R9" s="26"/>
      <c r="S9" s="18"/>
      <c r="T9" s="26"/>
      <c r="U9" s="65" t="s">
        <v>944</v>
      </c>
      <c r="V9" s="26"/>
      <c r="W9" s="18"/>
      <c r="X9" s="26"/>
      <c r="Y9" s="65"/>
      <c r="Z9" s="26"/>
      <c r="AA9" s="18"/>
      <c r="AB9" s="26"/>
      <c r="AC9" s="18"/>
    </row>
    <row r="10" spans="1:29" x14ac:dyDescent="0.25">
      <c r="A10" s="67" t="s">
        <v>184</v>
      </c>
      <c r="B10" s="26"/>
      <c r="C10" s="18" t="s">
        <v>238</v>
      </c>
      <c r="D10" s="26"/>
      <c r="E10" s="18"/>
      <c r="F10" s="26"/>
      <c r="G10" s="67" t="s">
        <v>940</v>
      </c>
      <c r="H10" s="26"/>
      <c r="I10" s="18"/>
      <c r="J10" s="26"/>
      <c r="K10" s="65" t="s">
        <v>285</v>
      </c>
      <c r="L10" s="26"/>
      <c r="M10" s="18"/>
      <c r="N10" s="26"/>
      <c r="O10" s="18"/>
      <c r="P10" s="26"/>
      <c r="Q10" s="65" t="s">
        <v>269</v>
      </c>
      <c r="R10" s="26"/>
      <c r="S10" s="18"/>
      <c r="T10" s="26"/>
      <c r="U10" s="67" t="s">
        <v>945</v>
      </c>
      <c r="V10" s="26"/>
      <c r="W10" s="18"/>
      <c r="X10" s="26"/>
      <c r="Y10" s="65"/>
      <c r="Z10" s="26"/>
      <c r="AA10" s="18"/>
      <c r="AB10" s="26"/>
      <c r="AC10" s="18"/>
    </row>
    <row r="11" spans="1:29" x14ac:dyDescent="0.25">
      <c r="A11" s="135" t="s">
        <v>960</v>
      </c>
      <c r="B11" s="26"/>
      <c r="C11" s="18" t="s">
        <v>239</v>
      </c>
      <c r="D11" s="26"/>
      <c r="E11" s="18"/>
      <c r="F11" s="26"/>
      <c r="G11" s="18"/>
      <c r="H11" s="26"/>
      <c r="I11" s="18"/>
      <c r="J11" s="26"/>
      <c r="K11" s="18"/>
      <c r="L11" s="26"/>
      <c r="M11" s="18"/>
      <c r="N11" s="26"/>
      <c r="O11" s="18"/>
      <c r="P11" s="26"/>
      <c r="Q11" s="65" t="s">
        <v>270</v>
      </c>
      <c r="R11" s="26"/>
      <c r="S11" s="18"/>
      <c r="T11" s="26"/>
      <c r="U11" s="18"/>
      <c r="V11" s="26"/>
      <c r="W11" s="18"/>
      <c r="X11" s="26"/>
      <c r="Y11" s="67"/>
      <c r="Z11" s="26"/>
      <c r="AA11" s="18"/>
      <c r="AB11" s="26"/>
      <c r="AC11" s="18"/>
    </row>
    <row r="12" spans="1:29" x14ac:dyDescent="0.25">
      <c r="A12" s="18"/>
      <c r="B12" s="26"/>
      <c r="C12" s="18"/>
      <c r="D12" s="26"/>
      <c r="E12" s="18"/>
      <c r="F12" s="26"/>
      <c r="G12" s="18"/>
      <c r="H12" s="26"/>
      <c r="I12" s="18"/>
      <c r="J12" s="26"/>
      <c r="K12" s="18"/>
      <c r="L12" s="26"/>
      <c r="M12" s="18"/>
      <c r="N12" s="26"/>
      <c r="O12" s="18"/>
      <c r="P12" s="26"/>
      <c r="Q12" s="65" t="s">
        <v>271</v>
      </c>
      <c r="R12" s="26"/>
      <c r="S12" s="18"/>
      <c r="T12" s="26"/>
      <c r="U12" s="18"/>
      <c r="V12" s="26"/>
      <c r="W12" s="18"/>
      <c r="X12" s="26"/>
      <c r="Y12" s="18"/>
      <c r="Z12" s="26"/>
      <c r="AA12" s="18"/>
      <c r="AB12" s="26"/>
      <c r="AC12" s="18"/>
    </row>
    <row r="13" spans="1:29" x14ac:dyDescent="0.25">
      <c r="A13" s="18"/>
      <c r="B13" s="26"/>
      <c r="C13" s="18"/>
      <c r="D13" s="26"/>
      <c r="E13" s="18"/>
      <c r="F13" s="26"/>
      <c r="G13" s="18"/>
      <c r="H13" s="26"/>
      <c r="I13" s="18"/>
      <c r="J13" s="26"/>
      <c r="K13" s="18"/>
      <c r="L13" s="26"/>
      <c r="M13" s="18"/>
      <c r="N13" s="26"/>
      <c r="O13" s="18"/>
      <c r="P13" s="26"/>
      <c r="Q13" s="65" t="s">
        <v>268</v>
      </c>
      <c r="R13" s="26"/>
      <c r="S13" s="18"/>
      <c r="T13" s="26"/>
      <c r="U13" s="18"/>
      <c r="V13" s="26"/>
      <c r="W13" s="18"/>
      <c r="X13" s="26"/>
      <c r="Y13" s="18"/>
      <c r="Z13" s="26"/>
      <c r="AA13" s="18"/>
      <c r="AB13" s="26"/>
      <c r="AC13" s="18"/>
    </row>
    <row r="14" spans="1:29" x14ac:dyDescent="0.25">
      <c r="A14" s="18"/>
      <c r="B14" s="26"/>
      <c r="C14" s="18"/>
      <c r="D14" s="26"/>
      <c r="E14" s="18"/>
      <c r="F14" s="26"/>
      <c r="G14" s="18"/>
      <c r="H14" s="26"/>
      <c r="I14" s="18"/>
      <c r="J14" s="26"/>
      <c r="K14" s="18"/>
      <c r="L14" s="26"/>
      <c r="M14" s="18"/>
      <c r="N14" s="26"/>
      <c r="O14" s="18"/>
      <c r="P14" s="26"/>
      <c r="Q14" s="65" t="s">
        <v>273</v>
      </c>
      <c r="R14" s="26"/>
      <c r="S14" s="18"/>
      <c r="T14" s="26"/>
      <c r="U14" s="18"/>
      <c r="V14" s="26"/>
      <c r="W14" s="18"/>
      <c r="X14" s="26"/>
      <c r="Y14" s="18"/>
      <c r="Z14" s="26"/>
      <c r="AA14" s="18"/>
      <c r="AB14" s="26"/>
      <c r="AC14" s="18"/>
    </row>
    <row r="15" spans="1:29" x14ac:dyDescent="0.25">
      <c r="A15" s="18"/>
      <c r="B15" s="26"/>
      <c r="C15" s="18"/>
      <c r="D15" s="26"/>
      <c r="E15" s="18"/>
      <c r="F15" s="26"/>
      <c r="G15" s="18"/>
      <c r="H15" s="26"/>
      <c r="I15" s="18"/>
      <c r="J15" s="26"/>
      <c r="K15" s="18"/>
      <c r="L15" s="26"/>
      <c r="M15" s="18"/>
      <c r="N15" s="26"/>
      <c r="O15" s="18"/>
      <c r="P15" s="26"/>
      <c r="Q15" s="65" t="s">
        <v>274</v>
      </c>
      <c r="R15" s="26"/>
      <c r="S15" s="18"/>
      <c r="T15" s="26"/>
      <c r="U15" s="18"/>
      <c r="V15" s="26"/>
      <c r="W15" s="18"/>
      <c r="X15" s="26"/>
      <c r="Y15" s="18"/>
      <c r="Z15" s="26"/>
      <c r="AA15" s="18"/>
      <c r="AB15" s="26"/>
      <c r="AC15" s="18"/>
    </row>
    <row r="16" spans="1:29" x14ac:dyDescent="0.25">
      <c r="A16" s="18"/>
      <c r="B16" s="26"/>
      <c r="C16" s="18"/>
      <c r="D16" s="26"/>
      <c r="E16" s="18"/>
      <c r="F16" s="26"/>
      <c r="G16" s="18"/>
      <c r="H16" s="26"/>
      <c r="I16" s="18"/>
      <c r="J16" s="26"/>
      <c r="K16" s="18"/>
      <c r="L16" s="26"/>
      <c r="M16" s="18"/>
      <c r="N16" s="26"/>
      <c r="O16" s="18"/>
      <c r="P16" s="26"/>
      <c r="Q16" s="65" t="s">
        <v>915</v>
      </c>
      <c r="R16" s="26"/>
      <c r="S16" s="18"/>
      <c r="T16" s="26"/>
      <c r="U16" s="18"/>
      <c r="V16" s="26"/>
      <c r="W16" s="18"/>
      <c r="X16" s="26"/>
      <c r="Y16" s="18"/>
      <c r="Z16" s="26"/>
      <c r="AA16" s="18"/>
      <c r="AB16" s="26"/>
      <c r="AC16" s="18"/>
    </row>
    <row r="17" spans="1:29" x14ac:dyDescent="0.25">
      <c r="A17" s="18"/>
      <c r="B17" s="26"/>
      <c r="C17" s="18"/>
      <c r="D17" s="26"/>
      <c r="E17" s="18"/>
      <c r="F17" s="26"/>
      <c r="G17" s="18"/>
      <c r="H17" s="26"/>
      <c r="I17" s="18"/>
      <c r="J17" s="26"/>
      <c r="K17" s="18"/>
      <c r="L17" s="26"/>
      <c r="M17" s="18"/>
      <c r="N17" s="26"/>
      <c r="O17" s="18"/>
      <c r="P17" s="26"/>
      <c r="Q17" s="65" t="s">
        <v>932</v>
      </c>
      <c r="R17" s="26"/>
      <c r="S17" s="18"/>
      <c r="T17" s="26"/>
      <c r="U17" s="18"/>
      <c r="V17" s="26"/>
      <c r="W17" s="18"/>
      <c r="X17" s="26"/>
      <c r="Y17" s="18"/>
      <c r="Z17" s="26"/>
      <c r="AA17" s="18"/>
      <c r="AB17" s="26"/>
      <c r="AC17" s="18"/>
    </row>
    <row r="18" spans="1:29" x14ac:dyDescent="0.25">
      <c r="A18" s="18"/>
      <c r="B18" s="26"/>
      <c r="C18" s="18"/>
      <c r="D18" s="26"/>
      <c r="E18" s="18"/>
      <c r="F18" s="26"/>
      <c r="G18" s="18"/>
      <c r="H18" s="26"/>
      <c r="I18" s="18"/>
      <c r="J18" s="26"/>
      <c r="K18" s="18"/>
      <c r="L18" s="26"/>
      <c r="M18" s="18"/>
      <c r="N18" s="26"/>
      <c r="O18" s="18"/>
      <c r="P18" s="26"/>
      <c r="Q18" s="65" t="s">
        <v>933</v>
      </c>
      <c r="R18" s="26"/>
      <c r="S18" s="18"/>
      <c r="T18" s="26"/>
      <c r="U18" s="18"/>
      <c r="V18" s="26"/>
      <c r="W18" s="18"/>
      <c r="X18" s="26"/>
      <c r="Y18" s="18"/>
      <c r="Z18" s="26"/>
      <c r="AA18" s="18"/>
      <c r="AB18" s="26"/>
      <c r="AC18" s="18"/>
    </row>
    <row r="19" spans="1:29" x14ac:dyDescent="0.25">
      <c r="A19" s="18"/>
      <c r="B19" s="26"/>
      <c r="C19" s="18"/>
      <c r="D19" s="26"/>
      <c r="E19" s="18"/>
      <c r="F19" s="26"/>
      <c r="G19" s="18"/>
      <c r="H19" s="26"/>
      <c r="I19" s="18"/>
      <c r="J19" s="26"/>
      <c r="K19" s="18"/>
      <c r="L19" s="26"/>
      <c r="M19" s="18"/>
      <c r="N19" s="26"/>
      <c r="O19" s="18"/>
      <c r="P19" s="26"/>
      <c r="Q19" s="65" t="s">
        <v>934</v>
      </c>
      <c r="R19" s="26"/>
      <c r="S19" s="18"/>
      <c r="T19" s="26"/>
      <c r="U19" s="18"/>
      <c r="V19" s="26"/>
      <c r="W19" s="18"/>
      <c r="X19" s="26"/>
      <c r="Y19" s="18"/>
      <c r="Z19" s="26"/>
      <c r="AA19" s="18"/>
      <c r="AB19" s="26"/>
      <c r="AC19" s="18"/>
    </row>
    <row r="20" spans="1:29" x14ac:dyDescent="0.25">
      <c r="A20" s="18"/>
      <c r="B20" s="26"/>
      <c r="C20" s="18"/>
      <c r="D20" s="26"/>
      <c r="E20" s="18"/>
      <c r="F20" s="26"/>
      <c r="G20" s="18"/>
      <c r="H20" s="26"/>
      <c r="I20" s="18"/>
      <c r="J20" s="26"/>
      <c r="K20" s="18"/>
      <c r="L20" s="26"/>
      <c r="M20" s="18"/>
      <c r="N20" s="26"/>
      <c r="O20" s="18"/>
      <c r="P20" s="26"/>
      <c r="Q20" s="67" t="s">
        <v>278</v>
      </c>
      <c r="R20" s="26"/>
      <c r="S20" s="18"/>
      <c r="T20" s="26"/>
      <c r="U20" s="18"/>
      <c r="V20" s="26"/>
      <c r="W20" s="18"/>
      <c r="X20" s="26"/>
      <c r="Y20" s="18"/>
      <c r="Z20" s="26"/>
      <c r="AA20" s="18"/>
      <c r="AB20" s="26"/>
      <c r="AC20" s="18"/>
    </row>
    <row r="21" spans="1:29" x14ac:dyDescent="0.25">
      <c r="A21" s="18"/>
      <c r="B21" s="26"/>
      <c r="C21" s="18"/>
      <c r="D21" s="26"/>
      <c r="E21" s="18"/>
      <c r="F21" s="26"/>
      <c r="G21" s="18"/>
      <c r="H21" s="26"/>
      <c r="I21" s="18"/>
      <c r="J21" s="26"/>
      <c r="K21" s="18"/>
      <c r="L21" s="26"/>
      <c r="M21" s="18"/>
      <c r="N21" s="26"/>
      <c r="O21" s="18"/>
      <c r="P21" s="26"/>
      <c r="Q21" s="67" t="s">
        <v>942</v>
      </c>
      <c r="R21" s="26"/>
      <c r="S21" s="18"/>
      <c r="T21" s="26"/>
      <c r="U21" s="18"/>
      <c r="V21" s="26"/>
      <c r="W21" s="18"/>
      <c r="X21" s="26"/>
      <c r="Y21" s="18"/>
      <c r="Z21" s="26"/>
      <c r="AA21" s="18"/>
      <c r="AB21" s="26"/>
      <c r="AC21" s="18"/>
    </row>
    <row r="22" spans="1:29" x14ac:dyDescent="0.25">
      <c r="A22" s="18"/>
      <c r="B22" s="26"/>
      <c r="C22" s="18"/>
      <c r="D22" s="26"/>
      <c r="E22" s="18"/>
      <c r="F22" s="26"/>
      <c r="G22" s="18"/>
      <c r="H22" s="26"/>
      <c r="I22" s="18"/>
      <c r="J22" s="26"/>
      <c r="K22" s="18"/>
      <c r="L22" s="26"/>
      <c r="M22" s="18"/>
      <c r="N22" s="26"/>
      <c r="O22" s="18"/>
      <c r="P22" s="26"/>
      <c r="Q22" s="18"/>
      <c r="R22" s="26"/>
      <c r="S22" s="18"/>
      <c r="T22" s="26"/>
      <c r="U22" s="18"/>
      <c r="V22" s="26"/>
      <c r="W22" s="18"/>
      <c r="X22" s="26"/>
      <c r="Y22" s="18"/>
      <c r="Z22" s="26"/>
      <c r="AA22" s="18"/>
      <c r="AB22" s="26"/>
      <c r="AC22" s="18"/>
    </row>
    <row r="23" spans="1:29" x14ac:dyDescent="0.25">
      <c r="A23" s="18"/>
      <c r="B23" s="26"/>
      <c r="C23" s="18"/>
      <c r="D23" s="26"/>
      <c r="E23" s="18"/>
      <c r="F23" s="26"/>
      <c r="G23" s="18"/>
      <c r="H23" s="26"/>
      <c r="I23" s="18"/>
      <c r="J23" s="26"/>
      <c r="K23" s="18"/>
      <c r="L23" s="26"/>
      <c r="M23" s="18"/>
      <c r="N23" s="26"/>
      <c r="O23" s="18"/>
      <c r="P23" s="26"/>
      <c r="Q23" s="18"/>
      <c r="R23" s="26"/>
      <c r="S23" s="18"/>
      <c r="T23" s="26"/>
      <c r="U23" s="18"/>
      <c r="V23" s="26"/>
      <c r="W23" s="18"/>
      <c r="X23" s="26"/>
      <c r="Y23" s="18"/>
      <c r="Z23" s="26"/>
      <c r="AA23" s="18"/>
      <c r="AB23" s="26"/>
      <c r="AC23" s="18"/>
    </row>
    <row r="24" spans="1:29" x14ac:dyDescent="0.25">
      <c r="A24" s="18"/>
      <c r="B24" s="26"/>
      <c r="C24" s="18"/>
      <c r="D24" s="26"/>
      <c r="E24" s="18"/>
      <c r="F24" s="26"/>
      <c r="G24" s="18"/>
      <c r="H24" s="26"/>
      <c r="I24" s="18"/>
      <c r="J24" s="26"/>
      <c r="K24" s="18"/>
      <c r="L24" s="26"/>
      <c r="M24" s="18"/>
      <c r="N24" s="26"/>
      <c r="O24" s="18"/>
      <c r="P24" s="26"/>
      <c r="Q24" s="18"/>
      <c r="R24" s="26"/>
      <c r="S24" s="18"/>
      <c r="T24" s="26"/>
      <c r="U24" s="18"/>
      <c r="V24" s="26"/>
      <c r="W24" s="18"/>
      <c r="X24" s="26"/>
      <c r="Y24" s="18"/>
      <c r="Z24" s="26"/>
      <c r="AA24" s="18"/>
      <c r="AB24" s="26"/>
      <c r="AC24" s="18"/>
    </row>
    <row r="25" spans="1:29" x14ac:dyDescent="0.25">
      <c r="A25" s="18"/>
      <c r="B25" s="26"/>
      <c r="C25" s="18"/>
      <c r="D25" s="26"/>
      <c r="E25" s="18"/>
      <c r="F25" s="26"/>
      <c r="G25" s="18"/>
      <c r="H25" s="26"/>
      <c r="I25" s="18"/>
      <c r="J25" s="26"/>
      <c r="K25" s="18"/>
      <c r="L25" s="26"/>
      <c r="M25" s="18"/>
      <c r="N25" s="26"/>
      <c r="O25" s="18"/>
      <c r="P25" s="26"/>
      <c r="Q25" s="18"/>
      <c r="R25" s="26"/>
      <c r="S25" s="18"/>
      <c r="T25" s="26"/>
      <c r="U25" s="18"/>
      <c r="V25" s="26"/>
      <c r="W25" s="18"/>
      <c r="X25" s="26"/>
      <c r="Y25" s="18"/>
      <c r="Z25" s="26"/>
      <c r="AA25" s="18"/>
      <c r="AB25" s="26"/>
      <c r="AC25" s="18"/>
    </row>
    <row r="26" spans="1:29" x14ac:dyDescent="0.2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x14ac:dyDescent="0.2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1:29" x14ac:dyDescent="0.25">
      <c r="A28" s="51" t="s">
        <v>297</v>
      </c>
      <c r="B28" s="26"/>
      <c r="C28" s="51" t="s">
        <v>344</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x14ac:dyDescent="0.25">
      <c r="A29" s="9" t="s">
        <v>297</v>
      </c>
      <c r="B29" s="26"/>
      <c r="C29" s="9" t="s">
        <v>954</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1:29"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29"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25">
      <c r="A33" s="26"/>
      <c r="B33" s="26"/>
      <c r="C33" s="26"/>
      <c r="D33" s="26"/>
      <c r="E33" s="26"/>
      <c r="F33" s="26"/>
      <c r="G33" s="26"/>
      <c r="H33" s="26"/>
      <c r="I33" s="26"/>
      <c r="J33" s="938" t="s">
        <v>345</v>
      </c>
      <c r="K33" s="938"/>
      <c r="L33" s="26"/>
      <c r="M33" s="26"/>
      <c r="N33" s="26"/>
      <c r="O33" s="26"/>
      <c r="P33" s="26"/>
      <c r="Q33" s="26"/>
      <c r="R33" s="26"/>
      <c r="S33" s="26"/>
      <c r="T33" s="26"/>
      <c r="U33" s="26"/>
      <c r="V33" s="26"/>
      <c r="W33" s="26"/>
      <c r="X33" s="26"/>
      <c r="Y33" s="26"/>
      <c r="Z33" s="26"/>
      <c r="AA33" s="26"/>
      <c r="AB33" s="26"/>
      <c r="AC33" s="26"/>
    </row>
    <row r="34" spans="1:29" x14ac:dyDescent="0.25">
      <c r="A34" s="26"/>
      <c r="B34" s="935" t="s">
        <v>227</v>
      </c>
      <c r="C34" s="936"/>
      <c r="D34" s="937"/>
      <c r="E34" s="26"/>
      <c r="F34" s="935" t="s">
        <v>346</v>
      </c>
      <c r="G34" s="936"/>
      <c r="H34" s="937"/>
      <c r="I34" s="26"/>
      <c r="J34" s="51" t="s">
        <v>347</v>
      </c>
      <c r="K34" s="51" t="s">
        <v>348</v>
      </c>
      <c r="L34" s="26"/>
      <c r="M34" s="941" t="s">
        <v>349</v>
      </c>
      <c r="N34" s="941"/>
      <c r="O34" s="26"/>
      <c r="P34" s="26"/>
      <c r="Q34" s="939" t="s">
        <v>350</v>
      </c>
      <c r="R34" s="939"/>
      <c r="S34" s="939"/>
      <c r="T34" s="939"/>
      <c r="U34" s="26"/>
      <c r="V34" s="26"/>
      <c r="W34" s="26"/>
      <c r="X34" s="26"/>
      <c r="Y34" s="26"/>
      <c r="Z34" s="26"/>
      <c r="AA34" s="26"/>
      <c r="AB34" s="26"/>
      <c r="AC34" s="26"/>
    </row>
    <row r="35" spans="1:29" x14ac:dyDescent="0.25">
      <c r="A35" s="26"/>
      <c r="B35" s="50" t="s">
        <v>72</v>
      </c>
      <c r="C35" s="51" t="s">
        <v>351</v>
      </c>
      <c r="D35" s="51" t="s">
        <v>352</v>
      </c>
      <c r="E35" s="26"/>
      <c r="F35" s="51" t="s">
        <v>351</v>
      </c>
      <c r="G35" s="50" t="s">
        <v>353</v>
      </c>
      <c r="H35" s="51" t="s">
        <v>354</v>
      </c>
      <c r="I35" s="26"/>
      <c r="J35" s="9" t="s">
        <v>175</v>
      </c>
      <c r="K35" s="7">
        <v>1</v>
      </c>
      <c r="L35" s="26"/>
      <c r="M35" s="51" t="s">
        <v>355</v>
      </c>
      <c r="N35" s="51" t="s">
        <v>354</v>
      </c>
      <c r="O35" s="26"/>
      <c r="P35" s="26"/>
      <c r="Q35" s="51" t="s">
        <v>356</v>
      </c>
      <c r="R35" s="51" t="s">
        <v>357</v>
      </c>
      <c r="S35" s="51" t="s">
        <v>358</v>
      </c>
      <c r="T35" s="51" t="s">
        <v>359</v>
      </c>
      <c r="U35" s="26"/>
      <c r="V35" s="26"/>
      <c r="W35" s="265" t="s">
        <v>360</v>
      </c>
      <c r="X35" s="266" t="s">
        <v>361</v>
      </c>
      <c r="Y35" s="26"/>
      <c r="Z35" s="26"/>
      <c r="AA35" s="26"/>
      <c r="AB35" s="26"/>
      <c r="AC35" s="26"/>
    </row>
    <row r="36" spans="1:29" ht="43.5" customHeight="1" x14ac:dyDescent="0.25">
      <c r="A36" s="26"/>
      <c r="B36" s="9" t="s">
        <v>254</v>
      </c>
      <c r="C36" s="9" t="s">
        <v>362</v>
      </c>
      <c r="D36" s="7">
        <v>1.1499999999999999</v>
      </c>
      <c r="E36" s="26"/>
      <c r="F36" s="9" t="s">
        <v>363</v>
      </c>
      <c r="G36" s="9" t="s">
        <v>364</v>
      </c>
      <c r="H36" s="7">
        <v>1.1499999999999999</v>
      </c>
      <c r="I36" s="26"/>
      <c r="J36" s="9" t="s">
        <v>177</v>
      </c>
      <c r="K36" s="7">
        <v>0.67</v>
      </c>
      <c r="L36" s="26"/>
      <c r="M36" s="15" t="s">
        <v>365</v>
      </c>
      <c r="N36" s="15">
        <v>1</v>
      </c>
      <c r="O36" s="26"/>
      <c r="P36" s="26"/>
      <c r="Q36" s="7" t="s">
        <v>366</v>
      </c>
      <c r="R36" s="7">
        <v>0.3</v>
      </c>
      <c r="S36" s="7">
        <f>R36*12</f>
        <v>3.5999999999999996</v>
      </c>
      <c r="T36" s="10">
        <f>3.14*(S36*S36)/10000</f>
        <v>4.0694399999999997E-3</v>
      </c>
      <c r="U36" s="26"/>
      <c r="V36" s="26"/>
      <c r="W36" s="18" t="s">
        <v>367</v>
      </c>
      <c r="X36" s="18" t="s">
        <v>368</v>
      </c>
      <c r="Y36" s="26"/>
      <c r="Z36" s="26"/>
      <c r="AA36" s="26"/>
      <c r="AB36" s="26"/>
      <c r="AC36" s="26"/>
    </row>
    <row r="37" spans="1:29" ht="55.5" customHeight="1" x14ac:dyDescent="0.25">
      <c r="A37" s="26"/>
      <c r="B37" s="9" t="s">
        <v>177</v>
      </c>
      <c r="C37" s="9" t="s">
        <v>369</v>
      </c>
      <c r="D37" s="7">
        <v>1.1000000000000001</v>
      </c>
      <c r="E37" s="26"/>
      <c r="F37" s="9" t="s">
        <v>919</v>
      </c>
      <c r="G37" s="9" t="s">
        <v>370</v>
      </c>
      <c r="H37" s="7">
        <v>1</v>
      </c>
      <c r="I37" s="26"/>
      <c r="J37" s="9" t="s">
        <v>254</v>
      </c>
      <c r="K37" s="7">
        <v>0.33</v>
      </c>
      <c r="L37" s="26"/>
      <c r="M37" s="15" t="s">
        <v>371</v>
      </c>
      <c r="N37" s="15">
        <v>0.75</v>
      </c>
      <c r="O37" s="26"/>
      <c r="P37" s="26"/>
      <c r="Q37" s="7" t="s">
        <v>177</v>
      </c>
      <c r="R37" s="7">
        <v>0.9</v>
      </c>
      <c r="S37" s="7">
        <f>R37*12</f>
        <v>10.8</v>
      </c>
      <c r="T37" s="10">
        <f>3.14*(S37*S37)/10000</f>
        <v>3.6624960000000005E-2</v>
      </c>
      <c r="U37" s="26"/>
      <c r="V37" s="26"/>
      <c r="W37" s="18" t="s">
        <v>372</v>
      </c>
      <c r="X37" s="18" t="s">
        <v>373</v>
      </c>
      <c r="Y37" s="26"/>
      <c r="Z37" s="26"/>
      <c r="AA37" s="26"/>
      <c r="AB37" s="26"/>
      <c r="AC37" s="26"/>
    </row>
    <row r="38" spans="1:29" ht="30" x14ac:dyDescent="0.25">
      <c r="A38" s="26"/>
      <c r="B38" s="16" t="s">
        <v>175</v>
      </c>
      <c r="C38" s="9" t="s">
        <v>374</v>
      </c>
      <c r="D38" s="7">
        <v>1</v>
      </c>
      <c r="E38" s="26"/>
      <c r="F38" s="9"/>
      <c r="G38" s="9"/>
      <c r="H38" s="7"/>
      <c r="I38" s="26"/>
      <c r="J38" s="9" t="s">
        <v>375</v>
      </c>
      <c r="K38" s="7">
        <v>0.1</v>
      </c>
      <c r="L38" s="26"/>
      <c r="M38" s="15" t="s">
        <v>376</v>
      </c>
      <c r="N38" s="15">
        <v>0.5</v>
      </c>
      <c r="O38" s="26"/>
      <c r="P38" s="26"/>
      <c r="Q38" s="7" t="s">
        <v>377</v>
      </c>
      <c r="R38" s="7">
        <v>1.3</v>
      </c>
      <c r="S38" s="7">
        <f>R38*12</f>
        <v>15.600000000000001</v>
      </c>
      <c r="T38" s="10">
        <f>3.14*(S38*S38)/10000</f>
        <v>7.6415040000000017E-2</v>
      </c>
      <c r="U38" s="26"/>
      <c r="V38" s="26"/>
      <c r="W38" s="18" t="s">
        <v>378</v>
      </c>
      <c r="X38" s="18" t="s">
        <v>379</v>
      </c>
      <c r="Y38" s="26"/>
      <c r="Z38" s="26"/>
      <c r="AA38" s="26"/>
      <c r="AB38" s="26"/>
      <c r="AC38" s="26"/>
    </row>
    <row r="39" spans="1:29" x14ac:dyDescent="0.25">
      <c r="A39" s="26"/>
      <c r="B39" s="16" t="s">
        <v>380</v>
      </c>
      <c r="C39" s="9" t="s">
        <v>381</v>
      </c>
      <c r="D39" s="7">
        <v>1</v>
      </c>
      <c r="E39" s="26"/>
      <c r="F39" s="26"/>
      <c r="G39" s="26"/>
      <c r="H39" s="26"/>
      <c r="I39" s="26"/>
      <c r="J39" s="26"/>
      <c r="K39" s="26"/>
      <c r="L39" s="26"/>
      <c r="M39" s="26"/>
      <c r="N39" s="26"/>
      <c r="O39" s="26"/>
      <c r="P39" s="26"/>
      <c r="Q39" s="26"/>
      <c r="R39" s="26"/>
      <c r="S39" s="26"/>
      <c r="T39" s="26"/>
      <c r="U39" s="26"/>
      <c r="V39" s="26"/>
      <c r="W39" s="18" t="s">
        <v>382</v>
      </c>
      <c r="X39" s="18" t="s">
        <v>383</v>
      </c>
      <c r="Y39" s="26"/>
      <c r="Z39" s="26"/>
      <c r="AA39" s="26"/>
      <c r="AB39" s="26"/>
      <c r="AC39" s="26"/>
    </row>
    <row r="40" spans="1:29" x14ac:dyDescent="0.25">
      <c r="A40" s="26"/>
      <c r="B40" s="26"/>
      <c r="C40" s="26"/>
      <c r="D40" s="26"/>
      <c r="E40" s="26"/>
      <c r="F40" s="26"/>
      <c r="G40" s="26"/>
      <c r="H40" s="26"/>
      <c r="I40" s="26"/>
      <c r="J40" s="26"/>
      <c r="K40" s="26"/>
      <c r="L40" s="26"/>
      <c r="M40" s="26"/>
      <c r="N40" s="26"/>
      <c r="O40" s="26"/>
      <c r="P40" s="26"/>
      <c r="Q40" s="26"/>
      <c r="R40" s="26"/>
      <c r="S40" s="26"/>
      <c r="T40" s="26"/>
      <c r="U40" s="26"/>
      <c r="V40" s="26"/>
      <c r="W40" s="18" t="s">
        <v>384</v>
      </c>
      <c r="X40" s="18" t="s">
        <v>385</v>
      </c>
      <c r="Y40" s="26"/>
      <c r="Z40" s="26"/>
      <c r="AA40" s="26"/>
      <c r="AB40" s="26"/>
      <c r="AC40" s="26"/>
    </row>
    <row r="41" spans="1:29" x14ac:dyDescent="0.25">
      <c r="A41" s="26"/>
      <c r="B41" s="26"/>
      <c r="C41" s="26"/>
      <c r="D41" s="26"/>
      <c r="E41" s="26"/>
      <c r="F41" s="26"/>
      <c r="G41" s="26"/>
      <c r="H41" s="26"/>
      <c r="I41" s="26"/>
      <c r="J41" s="26"/>
      <c r="K41" s="26"/>
      <c r="L41" s="26"/>
      <c r="M41" s="26"/>
      <c r="N41" s="26"/>
      <c r="O41" s="26"/>
      <c r="P41" s="26"/>
      <c r="Q41" s="26"/>
      <c r="R41" s="26"/>
      <c r="S41" s="26"/>
      <c r="T41" s="26"/>
      <c r="U41" s="26"/>
      <c r="V41" s="26"/>
      <c r="W41" s="18" t="s">
        <v>386</v>
      </c>
      <c r="X41" s="18" t="s">
        <v>387</v>
      </c>
      <c r="Y41" s="26"/>
      <c r="Z41" s="26"/>
      <c r="AA41" s="26"/>
      <c r="AB41" s="26"/>
      <c r="AC41" s="26"/>
    </row>
    <row r="42" spans="1:29" x14ac:dyDescent="0.25">
      <c r="A42" s="26"/>
      <c r="B42" s="26"/>
      <c r="C42" s="26"/>
      <c r="D42" s="26"/>
      <c r="E42" s="26"/>
      <c r="F42" s="26"/>
      <c r="G42" s="26"/>
      <c r="H42" s="26"/>
      <c r="I42" s="26"/>
      <c r="J42" s="26"/>
      <c r="K42" s="26"/>
      <c r="L42" s="26"/>
      <c r="M42" s="26"/>
      <c r="N42" s="26"/>
      <c r="O42" s="26"/>
      <c r="P42" s="26"/>
      <c r="Q42" s="26"/>
      <c r="R42" s="26"/>
      <c r="S42" s="26"/>
      <c r="T42" s="26"/>
      <c r="U42" s="26"/>
      <c r="V42" s="26"/>
      <c r="W42" s="18" t="s">
        <v>388</v>
      </c>
      <c r="X42" s="18" t="s">
        <v>389</v>
      </c>
      <c r="Y42" s="26"/>
      <c r="Z42" s="26"/>
      <c r="AA42" s="26"/>
      <c r="AB42" s="26"/>
      <c r="AC42" s="26"/>
    </row>
    <row r="43" spans="1:29" x14ac:dyDescent="0.25">
      <c r="A43" s="26"/>
      <c r="B43" s="26"/>
      <c r="C43" s="26"/>
      <c r="D43" s="26"/>
      <c r="E43" s="26"/>
      <c r="F43" s="26"/>
      <c r="G43" s="26"/>
      <c r="H43" s="26"/>
      <c r="I43" s="26"/>
      <c r="J43" s="26"/>
      <c r="K43" s="26"/>
      <c r="L43" s="26"/>
      <c r="M43" s="26"/>
      <c r="N43" s="26"/>
      <c r="O43" s="26"/>
      <c r="P43" s="26"/>
      <c r="Q43" s="26"/>
      <c r="R43" s="26"/>
      <c r="S43" s="26"/>
      <c r="T43" s="26"/>
      <c r="U43" s="26"/>
      <c r="V43" s="26"/>
      <c r="W43" s="18" t="s">
        <v>390</v>
      </c>
      <c r="X43" s="18" t="s">
        <v>391</v>
      </c>
      <c r="Y43" s="26"/>
      <c r="Z43" s="26"/>
      <c r="AA43" s="26"/>
      <c r="AB43" s="26"/>
      <c r="AC43" s="26"/>
    </row>
    <row r="44" spans="1:29" x14ac:dyDescent="0.25">
      <c r="A44" s="26"/>
      <c r="B44" s="26"/>
      <c r="C44" s="26"/>
      <c r="D44" s="26"/>
      <c r="E44" s="26"/>
      <c r="F44" s="26"/>
      <c r="G44" s="26"/>
      <c r="H44" s="26"/>
      <c r="I44" s="26"/>
      <c r="J44" s="26"/>
      <c r="K44" s="26"/>
      <c r="L44" s="26"/>
      <c r="M44" s="26"/>
      <c r="N44" s="26"/>
      <c r="O44" s="26"/>
      <c r="P44" s="26"/>
      <c r="Q44" s="26"/>
      <c r="R44" s="26"/>
      <c r="S44" s="26"/>
      <c r="T44" s="26"/>
      <c r="U44" s="26"/>
      <c r="V44" s="26"/>
      <c r="W44" s="18" t="s">
        <v>392</v>
      </c>
      <c r="X44" s="18" t="s">
        <v>393</v>
      </c>
      <c r="Y44" s="26"/>
      <c r="Z44" s="26"/>
      <c r="AA44" s="26"/>
      <c r="AB44" s="26"/>
      <c r="AC44" s="26"/>
    </row>
    <row r="45" spans="1:29" ht="28.5" customHeight="1" x14ac:dyDescent="0.45">
      <c r="A45" s="26"/>
      <c r="B45" s="932" t="s">
        <v>394</v>
      </c>
      <c r="C45" s="933"/>
      <c r="D45" s="934"/>
      <c r="E45" s="26"/>
      <c r="F45" s="932" t="s">
        <v>395</v>
      </c>
      <c r="G45" s="934"/>
      <c r="H45" s="26"/>
      <c r="I45" s="940" t="s">
        <v>396</v>
      </c>
      <c r="J45" s="940"/>
      <c r="K45" s="940"/>
      <c r="L45" s="26"/>
      <c r="M45" s="939" t="s">
        <v>350</v>
      </c>
      <c r="N45" s="939"/>
      <c r="O45" s="939"/>
      <c r="P45" s="939"/>
      <c r="Q45" s="26"/>
      <c r="R45" s="26"/>
      <c r="S45" s="932" t="s">
        <v>914</v>
      </c>
      <c r="T45" s="933"/>
      <c r="U45" s="934"/>
      <c r="V45" s="26"/>
      <c r="W45" s="18" t="s">
        <v>397</v>
      </c>
      <c r="X45" s="18" t="s">
        <v>398</v>
      </c>
      <c r="Y45" s="26"/>
      <c r="Z45" s="26"/>
      <c r="AA45" s="26"/>
      <c r="AB45" s="26"/>
      <c r="AC45" s="26"/>
    </row>
    <row r="46" spans="1:29" ht="45" x14ac:dyDescent="0.25">
      <c r="A46" s="26"/>
      <c r="B46" s="50" t="s">
        <v>399</v>
      </c>
      <c r="C46" s="50" t="s">
        <v>400</v>
      </c>
      <c r="D46" s="50" t="s">
        <v>401</v>
      </c>
      <c r="E46" s="26"/>
      <c r="F46" s="50" t="s">
        <v>402</v>
      </c>
      <c r="G46" s="50" t="s">
        <v>403</v>
      </c>
      <c r="H46" s="26"/>
      <c r="I46" s="50" t="s">
        <v>404</v>
      </c>
      <c r="J46" s="50" t="s">
        <v>405</v>
      </c>
      <c r="K46" s="50" t="s">
        <v>406</v>
      </c>
      <c r="L46" s="26"/>
      <c r="M46" s="51" t="s">
        <v>356</v>
      </c>
      <c r="N46" s="51" t="s">
        <v>357</v>
      </c>
      <c r="O46" s="51" t="s">
        <v>358</v>
      </c>
      <c r="P46" s="51" t="s">
        <v>359</v>
      </c>
      <c r="Q46" s="26"/>
      <c r="R46" s="26"/>
      <c r="S46" s="50" t="s">
        <v>399</v>
      </c>
      <c r="T46" s="50" t="s">
        <v>400</v>
      </c>
      <c r="U46" s="50" t="s">
        <v>401</v>
      </c>
      <c r="V46" s="26"/>
      <c r="W46" s="18" t="s">
        <v>407</v>
      </c>
      <c r="X46" s="18" t="s">
        <v>408</v>
      </c>
      <c r="Y46" s="26"/>
      <c r="Z46" s="26"/>
      <c r="AA46" s="26"/>
      <c r="AB46" s="26"/>
      <c r="AC46" s="26"/>
    </row>
    <row r="47" spans="1:29" ht="60" x14ac:dyDescent="0.25">
      <c r="A47" s="26"/>
      <c r="B47" s="7" t="s">
        <v>177</v>
      </c>
      <c r="C47" s="7">
        <v>4</v>
      </c>
      <c r="D47" s="22" t="s">
        <v>229</v>
      </c>
      <c r="E47" s="26"/>
      <c r="F47" s="7" t="s">
        <v>310</v>
      </c>
      <c r="G47" s="7">
        <v>3</v>
      </c>
      <c r="H47" s="26"/>
      <c r="I47" s="24">
        <v>0</v>
      </c>
      <c r="J47" s="24">
        <v>100</v>
      </c>
      <c r="K47" s="25">
        <v>1</v>
      </c>
      <c r="L47" s="26"/>
      <c r="M47" s="7" t="s">
        <v>366</v>
      </c>
      <c r="N47" s="7">
        <v>0.3</v>
      </c>
      <c r="O47" s="7">
        <f>N47*12</f>
        <v>3.5999999999999996</v>
      </c>
      <c r="P47" s="10">
        <f>3.14*(O47*O47)</f>
        <v>40.694399999999995</v>
      </c>
      <c r="Q47" s="26"/>
      <c r="R47" s="26"/>
      <c r="S47" s="7" t="s">
        <v>177</v>
      </c>
      <c r="T47" s="7">
        <v>4</v>
      </c>
      <c r="U47" s="22" t="s">
        <v>229</v>
      </c>
      <c r="V47" s="26"/>
      <c r="W47" s="18" t="s">
        <v>409</v>
      </c>
      <c r="X47" s="18" t="s">
        <v>410</v>
      </c>
      <c r="Y47" s="26"/>
      <c r="Z47" s="26"/>
      <c r="AA47" s="26"/>
      <c r="AB47" s="26"/>
      <c r="AC47" s="26"/>
    </row>
    <row r="48" spans="1:29" ht="60" x14ac:dyDescent="0.25">
      <c r="A48" s="26"/>
      <c r="B48" s="7" t="s">
        <v>175</v>
      </c>
      <c r="C48" s="7">
        <v>2</v>
      </c>
      <c r="D48" s="22" t="s">
        <v>234</v>
      </c>
      <c r="E48" s="26"/>
      <c r="F48" s="7" t="s">
        <v>98</v>
      </c>
      <c r="G48" s="7">
        <v>2</v>
      </c>
      <c r="H48" s="26"/>
      <c r="I48" s="24">
        <v>1</v>
      </c>
      <c r="J48" s="24">
        <v>96.5</v>
      </c>
      <c r="K48" s="25">
        <v>0.96499999999999997</v>
      </c>
      <c r="L48" s="26"/>
      <c r="M48" s="7" t="s">
        <v>177</v>
      </c>
      <c r="N48" s="7">
        <v>0.9</v>
      </c>
      <c r="O48" s="7">
        <f>N48*12</f>
        <v>10.8</v>
      </c>
      <c r="P48" s="10">
        <f>3.14*(O48*O48)</f>
        <v>366.24960000000004</v>
      </c>
      <c r="Q48" s="26"/>
      <c r="R48" s="26"/>
      <c r="S48" s="7" t="s">
        <v>175</v>
      </c>
      <c r="T48" s="7">
        <v>2</v>
      </c>
      <c r="U48" s="22" t="s">
        <v>234</v>
      </c>
      <c r="V48" s="26"/>
      <c r="W48" s="18" t="s">
        <v>411</v>
      </c>
      <c r="X48" s="18" t="s">
        <v>412</v>
      </c>
      <c r="Y48" s="26"/>
      <c r="Z48" s="26"/>
      <c r="AA48" s="26"/>
      <c r="AB48" s="26"/>
      <c r="AC48" s="26"/>
    </row>
    <row r="49" spans="1:29" ht="30" x14ac:dyDescent="0.25">
      <c r="A49" s="26"/>
      <c r="B49" s="7" t="s">
        <v>261</v>
      </c>
      <c r="C49" s="7">
        <v>0</v>
      </c>
      <c r="D49" s="22" t="s">
        <v>262</v>
      </c>
      <c r="E49" s="26"/>
      <c r="F49" s="9" t="s">
        <v>316</v>
      </c>
      <c r="G49" s="7">
        <v>1</v>
      </c>
      <c r="H49" s="26"/>
      <c r="I49" s="24">
        <v>2</v>
      </c>
      <c r="J49" s="24">
        <v>93.122500000000002</v>
      </c>
      <c r="K49" s="25">
        <v>0.93122499999999997</v>
      </c>
      <c r="L49" s="26"/>
      <c r="M49" s="7" t="s">
        <v>377</v>
      </c>
      <c r="N49" s="7">
        <v>1.3</v>
      </c>
      <c r="O49" s="7">
        <f>N49*12</f>
        <v>15.600000000000001</v>
      </c>
      <c r="P49" s="10">
        <f>3.14*(O49*O49)</f>
        <v>764.15040000000022</v>
      </c>
      <c r="Q49" s="26"/>
      <c r="R49" s="26"/>
      <c r="S49" s="7" t="s">
        <v>261</v>
      </c>
      <c r="T49" s="7">
        <v>1</v>
      </c>
      <c r="U49" s="22" t="s">
        <v>262</v>
      </c>
      <c r="V49" s="26"/>
      <c r="W49" s="18" t="s">
        <v>413</v>
      </c>
      <c r="X49" s="18" t="s">
        <v>414</v>
      </c>
      <c r="Y49" s="26"/>
      <c r="Z49" s="26"/>
      <c r="AA49" s="26"/>
      <c r="AB49" s="26"/>
      <c r="AC49" s="26"/>
    </row>
    <row r="50" spans="1:29" ht="60" x14ac:dyDescent="0.25">
      <c r="A50" s="26"/>
      <c r="B50" s="7" t="s">
        <v>254</v>
      </c>
      <c r="C50" s="7">
        <v>6</v>
      </c>
      <c r="D50" s="22" t="s">
        <v>229</v>
      </c>
      <c r="E50" s="26"/>
      <c r="F50" s="9" t="s">
        <v>924</v>
      </c>
      <c r="G50" s="7">
        <v>1</v>
      </c>
      <c r="H50" s="26"/>
      <c r="I50" s="24">
        <v>3</v>
      </c>
      <c r="J50" s="24">
        <v>89.863212500000003</v>
      </c>
      <c r="K50" s="25">
        <v>0.898632125</v>
      </c>
      <c r="L50" s="26"/>
      <c r="M50" s="26"/>
      <c r="N50" s="26"/>
      <c r="O50" s="26"/>
      <c r="P50" s="26"/>
      <c r="Q50" s="26"/>
      <c r="R50" s="26"/>
      <c r="S50" s="7" t="s">
        <v>254</v>
      </c>
      <c r="T50" s="7">
        <v>6</v>
      </c>
      <c r="U50" s="22" t="s">
        <v>229</v>
      </c>
      <c r="V50" s="26"/>
      <c r="W50" s="18" t="s">
        <v>415</v>
      </c>
      <c r="X50" s="18" t="s">
        <v>994</v>
      </c>
      <c r="Y50" s="26"/>
      <c r="Z50" s="26"/>
      <c r="AA50" s="26"/>
      <c r="AB50" s="26"/>
      <c r="AC50" s="26"/>
    </row>
    <row r="51" spans="1:29" x14ac:dyDescent="0.25">
      <c r="A51" s="26"/>
      <c r="B51" s="26"/>
      <c r="C51" s="26"/>
      <c r="D51" s="26"/>
      <c r="E51" s="26"/>
      <c r="F51" s="7" t="s">
        <v>321</v>
      </c>
      <c r="G51" s="7">
        <v>0</v>
      </c>
      <c r="H51" s="26"/>
      <c r="I51" s="24">
        <v>4</v>
      </c>
      <c r="J51" s="24">
        <v>86.718000059999994</v>
      </c>
      <c r="K51" s="25">
        <v>0.86718000059999989</v>
      </c>
      <c r="L51" s="26"/>
      <c r="M51" s="26"/>
      <c r="N51" s="26"/>
      <c r="O51" s="26"/>
      <c r="P51" s="26"/>
      <c r="Q51" s="26"/>
      <c r="R51" s="26"/>
      <c r="S51" s="26"/>
      <c r="T51" s="26"/>
      <c r="U51" s="26"/>
      <c r="V51" s="26"/>
      <c r="W51" s="18" t="s">
        <v>416</v>
      </c>
      <c r="X51" s="18"/>
      <c r="Y51" s="26"/>
      <c r="Z51" s="26"/>
      <c r="AA51" s="26"/>
      <c r="AB51" s="26"/>
      <c r="AC51" s="26"/>
    </row>
    <row r="52" spans="1:29" x14ac:dyDescent="0.25">
      <c r="A52" s="26"/>
      <c r="B52" s="26"/>
      <c r="C52" s="26"/>
      <c r="D52" s="26"/>
      <c r="E52" s="26"/>
      <c r="F52" s="26"/>
      <c r="G52" s="26"/>
      <c r="H52" s="26"/>
      <c r="I52" s="24">
        <v>5</v>
      </c>
      <c r="J52" s="24">
        <v>83.682870059999999</v>
      </c>
      <c r="K52" s="25">
        <v>0.83682870060000003</v>
      </c>
      <c r="L52" s="26"/>
      <c r="M52" s="26"/>
      <c r="N52" s="26"/>
      <c r="O52" s="26"/>
      <c r="P52" s="26"/>
      <c r="Q52" s="26"/>
      <c r="R52" s="26"/>
      <c r="S52" s="26"/>
      <c r="T52" s="26"/>
      <c r="U52" s="26"/>
      <c r="V52" s="26"/>
      <c r="W52" s="18" t="s">
        <v>417</v>
      </c>
      <c r="X52" s="18"/>
      <c r="Y52" s="26"/>
      <c r="Z52" s="26"/>
      <c r="AA52" s="26"/>
      <c r="AB52" s="26"/>
      <c r="AC52" s="26"/>
    </row>
    <row r="53" spans="1:29" x14ac:dyDescent="0.25">
      <c r="A53" s="26"/>
      <c r="B53" s="26"/>
      <c r="C53" s="26"/>
      <c r="D53" s="26"/>
      <c r="E53" s="26"/>
      <c r="F53" s="26"/>
      <c r="G53" s="26"/>
      <c r="H53" s="26"/>
      <c r="I53" s="24">
        <v>6</v>
      </c>
      <c r="J53" s="24">
        <v>80.753969609999999</v>
      </c>
      <c r="K53" s="25">
        <v>0.80753969609999998</v>
      </c>
      <c r="L53" s="26"/>
      <c r="M53" s="26"/>
      <c r="N53" s="26"/>
      <c r="O53" s="26"/>
      <c r="P53" s="26"/>
      <c r="Q53" s="26"/>
      <c r="R53" s="26"/>
      <c r="S53" s="26"/>
      <c r="T53" s="26"/>
      <c r="U53" s="26"/>
      <c r="V53" s="26"/>
      <c r="W53" s="18" t="s">
        <v>418</v>
      </c>
      <c r="X53" s="18"/>
      <c r="Y53" s="26"/>
      <c r="Z53" s="26"/>
      <c r="AA53" s="26"/>
      <c r="AB53" s="26"/>
      <c r="AC53" s="26"/>
    </row>
    <row r="54" spans="1:29" x14ac:dyDescent="0.25">
      <c r="A54" s="26"/>
      <c r="B54" s="26"/>
      <c r="C54" s="26"/>
      <c r="D54" s="26"/>
      <c r="E54" s="26"/>
      <c r="F54" s="26"/>
      <c r="G54" s="26"/>
      <c r="H54" s="26"/>
      <c r="I54" s="24">
        <v>7</v>
      </c>
      <c r="J54" s="24">
        <v>77.927580669999998</v>
      </c>
      <c r="K54" s="25">
        <v>0.77927580669999996</v>
      </c>
      <c r="L54" s="26"/>
      <c r="M54" s="26"/>
      <c r="N54" s="26"/>
      <c r="O54" s="26"/>
      <c r="P54" s="26"/>
      <c r="Q54" s="26"/>
      <c r="R54" s="26"/>
      <c r="S54" s="26"/>
      <c r="T54" s="26"/>
      <c r="U54" s="26"/>
      <c r="V54" s="26"/>
      <c r="W54" s="18" t="s">
        <v>419</v>
      </c>
      <c r="X54" s="18"/>
      <c r="Y54" s="26"/>
      <c r="Z54" s="26"/>
      <c r="AA54" s="26"/>
      <c r="AB54" s="26"/>
      <c r="AC54" s="26"/>
    </row>
    <row r="55" spans="1:29" ht="14.45" customHeight="1" x14ac:dyDescent="0.25">
      <c r="A55" s="26"/>
      <c r="B55" s="26"/>
      <c r="C55" s="26"/>
      <c r="D55" s="26"/>
      <c r="E55" s="26"/>
      <c r="F55" s="26"/>
      <c r="G55" s="26"/>
      <c r="H55" s="26"/>
      <c r="I55" s="24">
        <v>8</v>
      </c>
      <c r="J55" s="24">
        <v>75.200115350000004</v>
      </c>
      <c r="K55" s="25">
        <v>0.75200115350000007</v>
      </c>
      <c r="L55" s="26"/>
      <c r="M55" s="26"/>
      <c r="N55" s="26"/>
      <c r="O55" s="26"/>
      <c r="P55" s="26"/>
      <c r="Q55" s="26"/>
      <c r="R55" s="26"/>
      <c r="S55" s="26"/>
      <c r="T55" s="26"/>
      <c r="U55" s="26"/>
      <c r="V55" s="26"/>
      <c r="W55" s="18" t="s">
        <v>420</v>
      </c>
      <c r="X55" s="18"/>
      <c r="Y55" s="26"/>
      <c r="Z55" s="26"/>
      <c r="AA55" s="26"/>
      <c r="AB55" s="26"/>
      <c r="AC55" s="26"/>
    </row>
    <row r="56" spans="1:29" x14ac:dyDescent="0.25">
      <c r="A56" s="26"/>
      <c r="B56" s="26"/>
      <c r="C56" s="26"/>
      <c r="D56" s="26"/>
      <c r="E56" s="26"/>
      <c r="F56" s="26"/>
      <c r="G56" s="26"/>
      <c r="H56" s="26"/>
      <c r="I56" s="24">
        <v>9</v>
      </c>
      <c r="J56" s="24">
        <v>72.568111310000006</v>
      </c>
      <c r="K56" s="25">
        <v>0.72568111310000005</v>
      </c>
      <c r="L56" s="26"/>
      <c r="M56" s="26"/>
      <c r="N56" s="26"/>
      <c r="O56" s="26"/>
      <c r="P56" s="26"/>
      <c r="Q56" s="26"/>
      <c r="R56" s="26"/>
      <c r="S56" s="26"/>
      <c r="T56" s="26"/>
      <c r="U56" s="26"/>
      <c r="V56" s="26"/>
      <c r="W56" s="18" t="s">
        <v>421</v>
      </c>
      <c r="X56" s="18"/>
      <c r="Y56" s="26"/>
      <c r="Z56" s="26"/>
      <c r="AA56" s="26"/>
      <c r="AB56" s="26"/>
      <c r="AC56" s="26"/>
    </row>
    <row r="57" spans="1:29" x14ac:dyDescent="0.25">
      <c r="A57" s="26"/>
      <c r="B57" s="26"/>
      <c r="C57" s="26"/>
      <c r="D57" s="26"/>
      <c r="E57" s="26"/>
      <c r="F57" s="26"/>
      <c r="G57" s="26"/>
      <c r="H57" s="26"/>
      <c r="I57" s="24">
        <v>10</v>
      </c>
      <c r="J57" s="24">
        <v>70.028227419999993</v>
      </c>
      <c r="K57" s="25">
        <v>0.70028227419999989</v>
      </c>
      <c r="L57" s="26"/>
      <c r="M57" s="26"/>
      <c r="N57" s="26"/>
      <c r="O57" s="26"/>
      <c r="P57" s="26"/>
      <c r="Q57" s="26"/>
      <c r="R57" s="26"/>
      <c r="S57" s="26"/>
      <c r="T57" s="26"/>
      <c r="U57" s="26"/>
      <c r="V57" s="26"/>
      <c r="W57" s="18" t="s">
        <v>422</v>
      </c>
      <c r="X57" s="18"/>
      <c r="Y57" s="26"/>
      <c r="Z57" s="26"/>
      <c r="AA57" s="26"/>
      <c r="AB57" s="26"/>
      <c r="AC57" s="26"/>
    </row>
    <row r="58" spans="1:29" x14ac:dyDescent="0.25">
      <c r="A58" s="26"/>
      <c r="B58" s="26"/>
      <c r="C58" s="26"/>
      <c r="D58" s="26"/>
      <c r="E58" s="26"/>
      <c r="F58" s="26"/>
      <c r="G58" s="26"/>
      <c r="H58" s="26"/>
      <c r="I58" s="24">
        <v>11</v>
      </c>
      <c r="J58" s="24">
        <v>67.577239460000001</v>
      </c>
      <c r="K58" s="25">
        <v>0.67577239460000005</v>
      </c>
      <c r="L58" s="26"/>
      <c r="M58" s="26"/>
      <c r="N58" s="26"/>
      <c r="O58" s="26"/>
      <c r="P58" s="26"/>
      <c r="Q58" s="26"/>
      <c r="R58" s="26"/>
      <c r="S58" s="26"/>
      <c r="T58" s="26"/>
      <c r="U58" s="26"/>
      <c r="V58" s="26"/>
      <c r="W58" s="18" t="s">
        <v>423</v>
      </c>
      <c r="X58" s="18"/>
      <c r="Y58" s="26"/>
      <c r="Z58" s="26"/>
      <c r="AA58" s="26"/>
      <c r="AB58" s="26"/>
      <c r="AC58" s="26"/>
    </row>
    <row r="59" spans="1:29" x14ac:dyDescent="0.25">
      <c r="A59" s="26"/>
      <c r="B59" s="26"/>
      <c r="C59" s="26"/>
      <c r="D59" s="26"/>
      <c r="E59" s="26"/>
      <c r="F59" s="26"/>
      <c r="G59" s="26"/>
      <c r="H59" s="26"/>
      <c r="I59" s="24">
        <v>12</v>
      </c>
      <c r="J59" s="24">
        <v>65.212036069999996</v>
      </c>
      <c r="K59" s="25">
        <v>0.65212036070000001</v>
      </c>
      <c r="L59" s="26"/>
      <c r="M59" s="26"/>
      <c r="N59" s="26"/>
      <c r="O59" s="26"/>
      <c r="P59" s="26"/>
      <c r="Q59" s="26"/>
      <c r="R59" s="26"/>
      <c r="S59" s="26"/>
      <c r="T59" s="26"/>
      <c r="U59" s="26"/>
      <c r="V59" s="26"/>
      <c r="W59" s="18" t="s">
        <v>424</v>
      </c>
      <c r="X59" s="18"/>
      <c r="Y59" s="26"/>
      <c r="Z59" s="26"/>
      <c r="AA59" s="26"/>
      <c r="AB59" s="26"/>
      <c r="AC59" s="26"/>
    </row>
    <row r="60" spans="1:29" x14ac:dyDescent="0.25">
      <c r="A60" s="26"/>
      <c r="B60" s="26"/>
      <c r="C60" s="26"/>
      <c r="D60" s="26"/>
      <c r="E60" s="26"/>
      <c r="F60" s="26"/>
      <c r="G60" s="26"/>
      <c r="H60" s="26"/>
      <c r="I60" s="24">
        <v>13</v>
      </c>
      <c r="J60" s="24">
        <v>62.929614809999997</v>
      </c>
      <c r="K60" s="25">
        <v>0.62929614810000001</v>
      </c>
      <c r="L60" s="26"/>
      <c r="M60" s="26"/>
      <c r="N60" s="26"/>
      <c r="O60" s="26"/>
      <c r="P60" s="26"/>
      <c r="Q60" s="26"/>
      <c r="R60" s="26"/>
      <c r="S60" s="26"/>
      <c r="T60" s="26"/>
      <c r="U60" s="26"/>
      <c r="V60" s="26"/>
      <c r="W60" s="18" t="s">
        <v>425</v>
      </c>
      <c r="X60" s="18"/>
      <c r="Y60" s="26"/>
      <c r="Z60" s="26"/>
      <c r="AA60" s="26"/>
      <c r="AB60" s="26"/>
      <c r="AC60" s="26"/>
    </row>
    <row r="61" spans="1:29" x14ac:dyDescent="0.25">
      <c r="A61" s="26"/>
      <c r="B61" s="26"/>
      <c r="C61" s="26"/>
      <c r="D61" s="26"/>
      <c r="E61" s="26"/>
      <c r="F61" s="26"/>
      <c r="G61" s="26"/>
      <c r="H61" s="26"/>
      <c r="I61" s="24">
        <v>14</v>
      </c>
      <c r="J61" s="24">
        <v>60.727078290000001</v>
      </c>
      <c r="K61" s="25">
        <v>0.60727078290000003</v>
      </c>
      <c r="L61" s="26"/>
      <c r="M61" s="26"/>
      <c r="N61" s="26"/>
      <c r="O61" s="26"/>
      <c r="P61" s="26"/>
      <c r="Q61" s="26"/>
      <c r="R61" s="26"/>
      <c r="S61" s="26"/>
      <c r="T61" s="26"/>
      <c r="U61" s="26"/>
      <c r="V61" s="26"/>
      <c r="W61" s="18" t="s">
        <v>426</v>
      </c>
      <c r="X61" s="18"/>
      <c r="Y61" s="26"/>
      <c r="Z61" s="26"/>
      <c r="AA61" s="26"/>
      <c r="AB61" s="26"/>
      <c r="AC61" s="26"/>
    </row>
    <row r="62" spans="1:29" x14ac:dyDescent="0.25">
      <c r="A62" s="26"/>
      <c r="B62" s="26"/>
      <c r="C62" s="26"/>
      <c r="D62" s="26"/>
      <c r="E62" s="26"/>
      <c r="F62" s="26"/>
      <c r="G62" s="26"/>
      <c r="H62" s="26"/>
      <c r="I62" s="24">
        <v>15</v>
      </c>
      <c r="J62" s="24">
        <v>58.601630550000003</v>
      </c>
      <c r="K62" s="25">
        <v>0.58601630550000006</v>
      </c>
      <c r="L62" s="26"/>
      <c r="M62" s="26"/>
      <c r="N62" s="26"/>
      <c r="O62" s="26"/>
      <c r="P62" s="26"/>
      <c r="Q62" s="26"/>
      <c r="R62" s="26"/>
      <c r="S62" s="26"/>
      <c r="T62" s="26"/>
      <c r="U62" s="26"/>
      <c r="V62" s="26"/>
      <c r="W62" s="18" t="s">
        <v>427</v>
      </c>
      <c r="X62" s="18"/>
      <c r="Y62" s="26"/>
      <c r="Z62" s="26"/>
      <c r="AA62" s="26"/>
      <c r="AB62" s="26"/>
      <c r="AC62" s="26"/>
    </row>
    <row r="63" spans="1:29" x14ac:dyDescent="0.25">
      <c r="A63" s="26"/>
      <c r="B63" s="26"/>
      <c r="C63" s="26"/>
      <c r="D63" s="26"/>
      <c r="E63" s="26"/>
      <c r="F63" s="26"/>
      <c r="G63" s="26"/>
      <c r="H63" s="26"/>
      <c r="I63" s="24">
        <v>16</v>
      </c>
      <c r="J63" s="24">
        <v>56.550573479999997</v>
      </c>
      <c r="K63" s="25">
        <v>0.56550573479999999</v>
      </c>
      <c r="L63" s="26"/>
      <c r="M63" s="26"/>
      <c r="N63" s="26"/>
      <c r="O63" s="26"/>
      <c r="P63" s="26"/>
      <c r="Q63" s="26"/>
      <c r="R63" s="26"/>
      <c r="S63" s="26"/>
      <c r="T63" s="26"/>
      <c r="U63" s="26"/>
      <c r="V63" s="26"/>
      <c r="W63" s="18" t="s">
        <v>428</v>
      </c>
      <c r="X63" s="18"/>
      <c r="Y63" s="26"/>
      <c r="Z63" s="26"/>
      <c r="AA63" s="26"/>
      <c r="AB63" s="26"/>
      <c r="AC63" s="26"/>
    </row>
    <row r="64" spans="1:29" x14ac:dyDescent="0.25">
      <c r="A64" s="26"/>
      <c r="B64" s="26"/>
      <c r="C64" s="26"/>
      <c r="D64" s="26"/>
      <c r="E64" s="26"/>
      <c r="F64" s="26"/>
      <c r="G64" s="26"/>
      <c r="H64" s="26"/>
      <c r="I64" s="24">
        <v>17</v>
      </c>
      <c r="J64" s="24">
        <v>54.571303409999999</v>
      </c>
      <c r="K64" s="25">
        <v>0.54571303409999994</v>
      </c>
      <c r="L64" s="26"/>
      <c r="M64" s="26"/>
      <c r="N64" s="26"/>
      <c r="O64" s="26"/>
      <c r="P64" s="26"/>
      <c r="Q64" s="26"/>
      <c r="R64" s="26"/>
      <c r="S64" s="26"/>
      <c r="T64" s="26"/>
      <c r="U64" s="26"/>
      <c r="V64" s="26"/>
      <c r="W64" s="18" t="s">
        <v>429</v>
      </c>
      <c r="X64" s="18"/>
      <c r="Y64" s="26"/>
      <c r="Z64" s="26"/>
      <c r="AA64" s="26"/>
      <c r="AB64" s="26"/>
      <c r="AC64" s="26"/>
    </row>
    <row r="65" spans="1:29" x14ac:dyDescent="0.25">
      <c r="A65" s="26"/>
      <c r="B65" s="26"/>
      <c r="C65" s="26"/>
      <c r="D65" s="26"/>
      <c r="E65" s="26"/>
      <c r="F65" s="26"/>
      <c r="G65" s="26"/>
      <c r="H65" s="26"/>
      <c r="I65" s="24">
        <v>18</v>
      </c>
      <c r="J65" s="24">
        <v>52.661307790000002</v>
      </c>
      <c r="K65" s="25">
        <v>0.5266130779</v>
      </c>
      <c r="L65" s="26"/>
      <c r="M65" s="26"/>
      <c r="N65" s="26"/>
      <c r="O65" s="26"/>
      <c r="P65" s="26"/>
      <c r="Q65" s="26"/>
      <c r="R65" s="26"/>
      <c r="S65" s="26"/>
      <c r="T65" s="26"/>
      <c r="U65" s="26"/>
      <c r="V65" s="26"/>
      <c r="W65" s="18" t="s">
        <v>430</v>
      </c>
      <c r="X65" s="18"/>
      <c r="Y65" s="26"/>
      <c r="Z65" s="26"/>
      <c r="AA65" s="26"/>
      <c r="AB65" s="26"/>
      <c r="AC65" s="26"/>
    </row>
    <row r="66" spans="1:29" x14ac:dyDescent="0.25">
      <c r="A66" s="26"/>
      <c r="B66" s="26"/>
      <c r="C66" s="26"/>
      <c r="D66" s="26"/>
      <c r="E66" s="26"/>
      <c r="F66" s="26"/>
      <c r="G66" s="26"/>
      <c r="H66" s="26"/>
      <c r="I66" s="24">
        <v>19</v>
      </c>
      <c r="J66" s="24">
        <v>50.818162020000003</v>
      </c>
      <c r="K66" s="25">
        <v>0.50818162020000002</v>
      </c>
      <c r="L66" s="26"/>
      <c r="M66" s="26"/>
      <c r="N66" s="26"/>
      <c r="O66" s="26"/>
      <c r="P66" s="26"/>
      <c r="Q66" s="26"/>
      <c r="R66" s="26"/>
      <c r="S66" s="26"/>
      <c r="T66" s="26"/>
      <c r="U66" s="26"/>
      <c r="V66" s="26"/>
      <c r="W66" s="18" t="s">
        <v>431</v>
      </c>
      <c r="X66" s="18"/>
      <c r="Y66" s="26"/>
      <c r="Z66" s="26"/>
      <c r="AA66" s="26"/>
      <c r="AB66" s="26"/>
      <c r="AC66" s="26"/>
    </row>
    <row r="67" spans="1:29" x14ac:dyDescent="0.25">
      <c r="A67" s="26"/>
      <c r="B67" s="26"/>
      <c r="C67" s="26"/>
      <c r="D67" s="26"/>
      <c r="E67" s="26"/>
      <c r="F67" s="26"/>
      <c r="G67" s="26"/>
      <c r="H67" s="26"/>
      <c r="I67" s="24">
        <v>20</v>
      </c>
      <c r="J67" s="24">
        <v>49.039526350000003</v>
      </c>
      <c r="K67" s="25">
        <v>0.49039526350000001</v>
      </c>
      <c r="L67" s="26"/>
      <c r="M67" s="26"/>
      <c r="N67" s="26"/>
      <c r="O67" s="26"/>
      <c r="P67" s="26"/>
      <c r="Q67" s="26"/>
      <c r="R67" s="26"/>
      <c r="S67" s="26"/>
      <c r="T67" s="26"/>
      <c r="U67" s="26"/>
      <c r="V67" s="26"/>
      <c r="W67" s="18" t="s">
        <v>432</v>
      </c>
      <c r="X67" s="18"/>
      <c r="Y67" s="26"/>
      <c r="Z67" s="26"/>
      <c r="AA67" s="26"/>
      <c r="AB67" s="26"/>
      <c r="AC67" s="26"/>
    </row>
    <row r="68" spans="1:29" x14ac:dyDescent="0.25">
      <c r="A68" s="26"/>
      <c r="B68" s="26"/>
      <c r="C68" s="26"/>
      <c r="D68" s="26"/>
      <c r="E68" s="26"/>
      <c r="F68" s="26"/>
      <c r="G68" s="26"/>
      <c r="H68" s="26"/>
      <c r="I68" s="24">
        <v>21</v>
      </c>
      <c r="J68" s="24">
        <v>47.323142930000003</v>
      </c>
      <c r="K68" s="25">
        <v>0.47323142930000001</v>
      </c>
      <c r="L68" s="26"/>
      <c r="M68" s="26"/>
      <c r="N68" s="26"/>
      <c r="O68" s="26"/>
      <c r="P68" s="26"/>
      <c r="Q68" s="26"/>
      <c r="R68" s="26"/>
      <c r="S68" s="26"/>
      <c r="T68" s="26"/>
      <c r="U68" s="26"/>
      <c r="V68" s="26"/>
      <c r="W68" s="18" t="s">
        <v>433</v>
      </c>
      <c r="X68" s="18"/>
      <c r="Y68" s="26"/>
      <c r="Z68" s="26"/>
      <c r="AA68" s="26"/>
      <c r="AB68" s="26"/>
      <c r="AC68" s="26"/>
    </row>
    <row r="69" spans="1:29" x14ac:dyDescent="0.25">
      <c r="A69" s="26"/>
      <c r="B69" s="26"/>
      <c r="C69" s="26"/>
      <c r="D69" s="26"/>
      <c r="E69" s="26"/>
      <c r="F69" s="26"/>
      <c r="G69" s="26"/>
      <c r="H69" s="26"/>
      <c r="I69" s="24">
        <v>22</v>
      </c>
      <c r="J69" s="24">
        <v>45.666832919999997</v>
      </c>
      <c r="K69" s="25">
        <v>0.4566683292</v>
      </c>
      <c r="L69" s="26"/>
      <c r="M69" s="26"/>
      <c r="N69" s="26"/>
      <c r="O69" s="26"/>
      <c r="P69" s="26"/>
      <c r="Q69" s="26"/>
      <c r="R69" s="26"/>
      <c r="S69" s="26"/>
      <c r="T69" s="26"/>
      <c r="U69" s="26"/>
      <c r="V69" s="26"/>
      <c r="W69" s="18" t="s">
        <v>434</v>
      </c>
      <c r="X69" s="18"/>
      <c r="Y69" s="26"/>
      <c r="Z69" s="26"/>
      <c r="AA69" s="26"/>
      <c r="AB69" s="26"/>
      <c r="AC69" s="26"/>
    </row>
    <row r="70" spans="1:29" x14ac:dyDescent="0.25">
      <c r="A70" s="26"/>
      <c r="B70" s="26"/>
      <c r="C70" s="26"/>
      <c r="D70" s="26"/>
      <c r="E70" s="26"/>
      <c r="F70" s="26"/>
      <c r="G70" s="26"/>
      <c r="H70" s="26"/>
      <c r="I70" s="24">
        <v>23</v>
      </c>
      <c r="J70" s="24">
        <v>44.068493770000003</v>
      </c>
      <c r="K70" s="25">
        <v>0.44068493770000006</v>
      </c>
      <c r="L70" s="26"/>
      <c r="M70" s="26"/>
      <c r="N70" s="26"/>
      <c r="O70" s="26"/>
      <c r="P70" s="26"/>
      <c r="Q70" s="26"/>
      <c r="R70" s="26"/>
      <c r="S70" s="26"/>
      <c r="T70" s="26"/>
      <c r="U70" s="26"/>
      <c r="V70" s="26"/>
      <c r="W70" s="18" t="s">
        <v>435</v>
      </c>
      <c r="X70" s="18"/>
      <c r="Y70" s="26"/>
      <c r="Z70" s="26"/>
      <c r="AA70" s="26"/>
      <c r="AB70" s="26"/>
      <c r="AC70" s="26"/>
    </row>
    <row r="71" spans="1:29" x14ac:dyDescent="0.25">
      <c r="A71" s="26"/>
      <c r="B71" s="26"/>
      <c r="C71" s="26"/>
      <c r="D71" s="26"/>
      <c r="E71" s="26"/>
      <c r="F71" s="26"/>
      <c r="G71" s="26"/>
      <c r="H71" s="26"/>
      <c r="I71" s="24">
        <v>24</v>
      </c>
      <c r="J71" s="24">
        <v>42.52609649</v>
      </c>
      <c r="K71" s="25">
        <v>0.42526096489999998</v>
      </c>
      <c r="L71" s="26"/>
      <c r="M71" s="26"/>
      <c r="N71" s="26"/>
      <c r="O71" s="26"/>
      <c r="P71" s="26"/>
      <c r="Q71" s="26"/>
      <c r="R71" s="26"/>
      <c r="S71" s="26"/>
      <c r="T71" s="26"/>
      <c r="U71" s="26"/>
      <c r="V71" s="26"/>
      <c r="W71" s="18" t="s">
        <v>436</v>
      </c>
      <c r="X71" s="18"/>
      <c r="Y71" s="26"/>
      <c r="Z71" s="26"/>
      <c r="AA71" s="26"/>
      <c r="AB71" s="26"/>
      <c r="AC71" s="26"/>
    </row>
    <row r="72" spans="1:29" x14ac:dyDescent="0.25">
      <c r="A72" s="26"/>
      <c r="B72" s="26"/>
      <c r="C72" s="26"/>
      <c r="D72" s="26"/>
      <c r="E72" s="26"/>
      <c r="F72" s="26"/>
      <c r="G72" s="26"/>
      <c r="H72" s="26"/>
      <c r="I72" s="24">
        <v>25</v>
      </c>
      <c r="J72" s="24">
        <v>41.037683110000003</v>
      </c>
      <c r="K72" s="25">
        <v>0.41037683110000001</v>
      </c>
      <c r="L72" s="26"/>
      <c r="M72" s="26"/>
      <c r="N72" s="26"/>
      <c r="O72" s="26"/>
      <c r="P72" s="26"/>
      <c r="Q72" s="26"/>
      <c r="R72" s="26"/>
      <c r="S72" s="26"/>
      <c r="T72" s="26"/>
      <c r="U72" s="26"/>
      <c r="V72" s="26"/>
      <c r="W72" s="18" t="s">
        <v>437</v>
      </c>
      <c r="X72" s="18"/>
      <c r="Y72" s="26"/>
      <c r="Z72" s="26"/>
      <c r="AA72" s="26"/>
      <c r="AB72" s="26"/>
      <c r="AC72" s="26"/>
    </row>
    <row r="73" spans="1:29" x14ac:dyDescent="0.25">
      <c r="A73" s="26"/>
      <c r="B73" s="26"/>
      <c r="C73" s="26"/>
      <c r="D73" s="26"/>
      <c r="E73" s="26"/>
      <c r="F73" s="26"/>
      <c r="G73" s="26"/>
      <c r="H73" s="26"/>
      <c r="I73" s="24">
        <v>26</v>
      </c>
      <c r="J73" s="24">
        <v>39.601364199999999</v>
      </c>
      <c r="K73" s="25">
        <v>0.396013642</v>
      </c>
      <c r="L73" s="26"/>
      <c r="M73" s="26"/>
      <c r="N73" s="26"/>
      <c r="O73" s="26"/>
      <c r="P73" s="26"/>
      <c r="Q73" s="26"/>
      <c r="R73" s="26"/>
      <c r="S73" s="26"/>
      <c r="T73" s="26"/>
      <c r="U73" s="26"/>
      <c r="V73" s="26"/>
      <c r="W73" s="18" t="s">
        <v>438</v>
      </c>
      <c r="X73" s="18"/>
      <c r="Y73" s="26"/>
      <c r="Z73" s="26"/>
      <c r="AA73" s="26"/>
      <c r="AB73" s="26"/>
      <c r="AC73" s="26"/>
    </row>
    <row r="74" spans="1:29" x14ac:dyDescent="0.25">
      <c r="A74" s="26"/>
      <c r="B74" s="26"/>
      <c r="C74" s="26"/>
      <c r="D74" s="26"/>
      <c r="E74" s="26"/>
      <c r="F74" s="26"/>
      <c r="G74" s="26"/>
      <c r="H74" s="26"/>
      <c r="I74" s="24">
        <v>27</v>
      </c>
      <c r="J74" s="24">
        <v>38.215316459999997</v>
      </c>
      <c r="K74" s="25">
        <v>0.38215316459999998</v>
      </c>
      <c r="L74" s="26"/>
      <c r="M74" s="26"/>
      <c r="N74" s="26"/>
      <c r="O74" s="26"/>
      <c r="P74" s="26"/>
      <c r="Q74" s="26"/>
      <c r="R74" s="26"/>
      <c r="S74" s="26"/>
      <c r="T74" s="26"/>
      <c r="U74" s="26"/>
      <c r="V74" s="26"/>
      <c r="W74" s="18" t="s">
        <v>439</v>
      </c>
      <c r="X74" s="18"/>
      <c r="Y74" s="26"/>
      <c r="Z74" s="26"/>
      <c r="AA74" s="26"/>
      <c r="AB74" s="26"/>
      <c r="AC74" s="26"/>
    </row>
    <row r="75" spans="1:29" x14ac:dyDescent="0.25">
      <c r="A75" s="26"/>
      <c r="B75" s="26"/>
      <c r="C75" s="26"/>
      <c r="D75" s="26"/>
      <c r="E75" s="26"/>
      <c r="F75" s="26"/>
      <c r="G75" s="26"/>
      <c r="H75" s="26"/>
      <c r="I75" s="24">
        <v>28</v>
      </c>
      <c r="J75" s="24">
        <v>36.877780379999997</v>
      </c>
      <c r="K75" s="25">
        <v>0.36877780379999997</v>
      </c>
      <c r="L75" s="26"/>
      <c r="M75" s="26"/>
      <c r="N75" s="26"/>
      <c r="O75" s="26"/>
      <c r="P75" s="26"/>
      <c r="Q75" s="26"/>
      <c r="R75" s="26"/>
      <c r="S75" s="26"/>
      <c r="T75" s="26"/>
      <c r="U75" s="26"/>
      <c r="V75" s="26"/>
      <c r="W75" s="18" t="s">
        <v>440</v>
      </c>
      <c r="X75" s="18"/>
      <c r="Y75" s="26"/>
      <c r="Z75" s="26"/>
      <c r="AA75" s="26"/>
      <c r="AB75" s="26"/>
      <c r="AC75" s="26"/>
    </row>
    <row r="76" spans="1:29" x14ac:dyDescent="0.25">
      <c r="A76" s="26"/>
      <c r="B76" s="26"/>
      <c r="C76" s="26"/>
      <c r="D76" s="26"/>
      <c r="E76" s="26"/>
      <c r="F76" s="26"/>
      <c r="G76" s="26"/>
      <c r="H76" s="26"/>
      <c r="I76" s="24">
        <v>29</v>
      </c>
      <c r="J76" s="24">
        <v>35.587058069999998</v>
      </c>
      <c r="K76" s="25">
        <v>0.35587058069999999</v>
      </c>
      <c r="L76" s="26"/>
      <c r="M76" s="26"/>
      <c r="N76" s="26"/>
      <c r="O76" s="26"/>
      <c r="P76" s="26"/>
      <c r="Q76" s="26"/>
      <c r="R76" s="26"/>
      <c r="S76" s="26"/>
      <c r="T76" s="26"/>
      <c r="U76" s="26"/>
      <c r="V76" s="26"/>
      <c r="W76" s="18" t="s">
        <v>441</v>
      </c>
      <c r="X76" s="18"/>
      <c r="Y76" s="26"/>
      <c r="Z76" s="26"/>
      <c r="AA76" s="26"/>
      <c r="AB76" s="26"/>
      <c r="AC76" s="26"/>
    </row>
    <row r="77" spans="1:29" x14ac:dyDescent="0.25">
      <c r="A77" s="26"/>
      <c r="B77" s="26"/>
      <c r="C77" s="26"/>
      <c r="D77" s="26"/>
      <c r="E77" s="26"/>
      <c r="F77" s="26"/>
      <c r="G77" s="26"/>
      <c r="H77" s="26"/>
      <c r="I77" s="24">
        <v>30</v>
      </c>
      <c r="J77" s="24">
        <v>34.34151104</v>
      </c>
      <c r="K77" s="25">
        <v>0.3434151104</v>
      </c>
      <c r="L77" s="26"/>
      <c r="M77" s="26"/>
      <c r="N77" s="26"/>
      <c r="O77" s="26"/>
      <c r="P77" s="26"/>
      <c r="Q77" s="26"/>
      <c r="R77" s="26"/>
      <c r="S77" s="26"/>
      <c r="T77" s="26"/>
      <c r="U77" s="26"/>
      <c r="V77" s="26"/>
      <c r="W77" s="18" t="s">
        <v>442</v>
      </c>
      <c r="X77" s="18"/>
      <c r="Y77" s="26"/>
      <c r="Z77" s="26"/>
      <c r="AA77" s="26"/>
      <c r="AB77" s="26"/>
      <c r="AC77" s="26"/>
    </row>
    <row r="78" spans="1:29" x14ac:dyDescent="0.25">
      <c r="A78" s="26"/>
      <c r="B78" s="26"/>
      <c r="C78" s="26"/>
      <c r="D78" s="26"/>
      <c r="E78" s="26"/>
      <c r="F78" s="26"/>
      <c r="G78" s="26"/>
      <c r="H78" s="26"/>
      <c r="I78" s="24">
        <v>31</v>
      </c>
      <c r="J78" s="24">
        <v>33.139558149999999</v>
      </c>
      <c r="K78" s="25">
        <v>0.33139558149999998</v>
      </c>
      <c r="L78" s="26"/>
      <c r="M78" s="26"/>
      <c r="N78" s="26"/>
      <c r="O78" s="26"/>
      <c r="P78" s="26"/>
      <c r="Q78" s="26"/>
      <c r="R78" s="26"/>
      <c r="S78" s="26"/>
      <c r="T78" s="26"/>
      <c r="U78" s="26"/>
      <c r="V78" s="26"/>
      <c r="W78" s="18" t="s">
        <v>443</v>
      </c>
      <c r="X78" s="18"/>
      <c r="Y78" s="26"/>
      <c r="Z78" s="26"/>
      <c r="AA78" s="26"/>
      <c r="AB78" s="26"/>
      <c r="AC78" s="26"/>
    </row>
    <row r="79" spans="1:29" x14ac:dyDescent="0.25">
      <c r="A79" s="26"/>
      <c r="B79" s="26"/>
      <c r="C79" s="26"/>
      <c r="D79" s="26"/>
      <c r="E79" s="26"/>
      <c r="F79" s="26"/>
      <c r="G79" s="26"/>
      <c r="H79" s="26"/>
      <c r="I79" s="24" t="s">
        <v>325</v>
      </c>
      <c r="J79" s="20">
        <v>31.979673609999999</v>
      </c>
      <c r="K79" s="25">
        <v>0.31979673609999998</v>
      </c>
      <c r="L79" s="26"/>
      <c r="M79" s="26"/>
      <c r="N79" s="26"/>
      <c r="O79" s="26"/>
      <c r="P79" s="26"/>
      <c r="Q79" s="26"/>
      <c r="R79" s="26"/>
      <c r="S79" s="26"/>
      <c r="T79" s="26"/>
      <c r="U79" s="26"/>
      <c r="V79" s="26"/>
      <c r="W79" s="18" t="s">
        <v>444</v>
      </c>
      <c r="X79" s="18"/>
      <c r="Y79" s="26"/>
      <c r="Z79" s="26"/>
      <c r="AA79" s="26"/>
      <c r="AB79" s="26"/>
      <c r="AC79" s="26"/>
    </row>
    <row r="80" spans="1:29" x14ac:dyDescent="0.25">
      <c r="A80" s="26"/>
      <c r="B80" s="26"/>
      <c r="C80" s="26"/>
      <c r="D80" s="26"/>
      <c r="E80" s="26"/>
      <c r="F80" s="26"/>
      <c r="G80" s="26"/>
      <c r="H80" s="26"/>
      <c r="I80" s="17" t="s">
        <v>312</v>
      </c>
      <c r="J80" s="17" t="s">
        <v>380</v>
      </c>
      <c r="K80" s="17" t="s">
        <v>380</v>
      </c>
      <c r="L80" s="26"/>
      <c r="M80" s="26"/>
      <c r="N80" s="26"/>
      <c r="O80" s="26"/>
      <c r="P80" s="26"/>
      <c r="Q80" s="26"/>
      <c r="R80" s="26"/>
      <c r="S80" s="26"/>
      <c r="T80" s="26"/>
      <c r="U80" s="26"/>
      <c r="V80" s="26"/>
      <c r="W80" s="18" t="s">
        <v>445</v>
      </c>
      <c r="X80" s="18"/>
      <c r="Y80" s="26"/>
      <c r="Z80" s="26"/>
      <c r="AA80" s="26"/>
      <c r="AB80" s="26"/>
      <c r="AC80" s="26"/>
    </row>
    <row r="81" spans="1:29" x14ac:dyDescent="0.25">
      <c r="A81" s="26"/>
      <c r="B81" s="26"/>
      <c r="C81" s="26"/>
      <c r="D81" s="26"/>
      <c r="E81" s="26"/>
      <c r="F81" s="26"/>
      <c r="G81" s="26"/>
      <c r="H81" s="26"/>
      <c r="I81" s="26"/>
      <c r="J81" s="26"/>
      <c r="K81" s="26"/>
      <c r="L81" s="26"/>
      <c r="M81" s="26"/>
      <c r="N81" s="26"/>
      <c r="O81" s="26"/>
      <c r="P81" s="26"/>
      <c r="Q81" s="26"/>
      <c r="R81" s="26"/>
      <c r="S81" s="26"/>
      <c r="T81" s="26"/>
      <c r="U81" s="26"/>
      <c r="V81" s="26"/>
      <c r="W81" s="18" t="s">
        <v>446</v>
      </c>
      <c r="X81" s="18"/>
      <c r="Y81" s="26"/>
      <c r="Z81" s="26"/>
      <c r="AA81" s="26"/>
      <c r="AB81" s="26"/>
      <c r="AC81" s="26"/>
    </row>
    <row r="82" spans="1:29" x14ac:dyDescent="0.25">
      <c r="A82" s="26"/>
      <c r="B82" s="26"/>
      <c r="C82" s="26"/>
      <c r="D82" s="26"/>
      <c r="E82" s="26"/>
      <c r="F82" s="26"/>
      <c r="G82" s="26"/>
      <c r="H82" s="26"/>
      <c r="I82" s="26"/>
      <c r="J82" s="26"/>
      <c r="K82" s="26"/>
      <c r="L82" s="26"/>
      <c r="M82" s="26"/>
      <c r="N82" s="26"/>
      <c r="O82" s="26"/>
      <c r="P82" s="26"/>
      <c r="Q82" s="26"/>
      <c r="R82" s="26"/>
      <c r="S82" s="26"/>
      <c r="T82" s="26"/>
      <c r="U82" s="26"/>
      <c r="V82" s="26"/>
      <c r="W82" s="18" t="s">
        <v>447</v>
      </c>
      <c r="X82" s="18"/>
      <c r="Y82" s="26"/>
      <c r="Z82" s="26"/>
      <c r="AA82" s="26"/>
      <c r="AB82" s="26"/>
      <c r="AC82" s="26"/>
    </row>
    <row r="83" spans="1:29" x14ac:dyDescent="0.25">
      <c r="A83" s="26"/>
      <c r="B83" s="26"/>
      <c r="C83" s="26"/>
      <c r="D83" s="26"/>
      <c r="E83" s="26"/>
      <c r="F83" s="26"/>
      <c r="G83" s="26"/>
      <c r="H83" s="26"/>
      <c r="I83" s="26"/>
      <c r="J83" s="26"/>
      <c r="K83" s="26"/>
      <c r="L83" s="26"/>
      <c r="M83" s="26"/>
      <c r="N83" s="26"/>
      <c r="O83" s="26"/>
      <c r="P83" s="26"/>
      <c r="Q83" s="26"/>
      <c r="R83" s="26"/>
      <c r="S83" s="26"/>
      <c r="T83" s="26"/>
      <c r="U83" s="26"/>
      <c r="V83" s="26"/>
      <c r="W83" s="18" t="s">
        <v>448</v>
      </c>
      <c r="X83" s="18"/>
      <c r="Y83" s="26"/>
      <c r="Z83" s="26"/>
      <c r="AA83" s="26"/>
      <c r="AB83" s="26"/>
      <c r="AC83" s="26"/>
    </row>
    <row r="84" spans="1:29" x14ac:dyDescent="0.25">
      <c r="A84" s="26"/>
      <c r="B84" s="26"/>
      <c r="C84" s="26"/>
      <c r="D84" s="26"/>
      <c r="E84" s="26"/>
      <c r="F84" s="26"/>
      <c r="G84" s="26"/>
      <c r="H84" s="26"/>
      <c r="I84" s="26"/>
      <c r="J84" s="26"/>
      <c r="K84" s="26"/>
      <c r="L84" s="26"/>
      <c r="M84" s="26"/>
      <c r="N84" s="26"/>
      <c r="O84" s="26"/>
      <c r="P84" s="26"/>
      <c r="Q84" s="26"/>
      <c r="R84" s="26"/>
      <c r="S84" s="26"/>
      <c r="T84" s="26"/>
      <c r="U84" s="26"/>
      <c r="V84" s="26"/>
      <c r="W84" s="18" t="s">
        <v>449</v>
      </c>
      <c r="X84" s="18"/>
      <c r="Y84" s="26"/>
      <c r="Z84" s="26"/>
      <c r="AA84" s="26"/>
      <c r="AB84" s="26"/>
      <c r="AC84" s="26"/>
    </row>
    <row r="85" spans="1:29" x14ac:dyDescent="0.25">
      <c r="A85" s="26"/>
      <c r="B85" s="26"/>
      <c r="C85" s="26"/>
      <c r="D85" s="26"/>
      <c r="E85" s="26"/>
      <c r="F85" s="26"/>
      <c r="G85" s="26"/>
      <c r="H85" s="26"/>
      <c r="I85" s="26"/>
      <c r="J85" s="26"/>
      <c r="K85" s="26"/>
      <c r="L85" s="26"/>
      <c r="M85" s="26"/>
      <c r="N85" s="26"/>
      <c r="O85" s="26"/>
      <c r="P85" s="26"/>
      <c r="Q85" s="26"/>
      <c r="R85" s="26"/>
      <c r="S85" s="26"/>
      <c r="T85" s="26"/>
      <c r="U85" s="26"/>
      <c r="V85" s="26"/>
      <c r="W85" s="18" t="s">
        <v>450</v>
      </c>
      <c r="X85" s="18"/>
      <c r="Y85" s="26"/>
      <c r="Z85" s="26"/>
      <c r="AA85" s="26"/>
      <c r="AB85" s="26"/>
      <c r="AC85" s="26"/>
    </row>
    <row r="86" spans="1:29" x14ac:dyDescent="0.25">
      <c r="A86" s="26"/>
      <c r="B86" s="26"/>
      <c r="C86" s="26"/>
      <c r="D86" s="26"/>
      <c r="E86" s="26"/>
      <c r="F86" s="26"/>
      <c r="G86" s="26"/>
      <c r="H86" s="26"/>
      <c r="I86" s="26"/>
      <c r="J86" s="26"/>
      <c r="K86" s="26"/>
      <c r="L86" s="26"/>
      <c r="M86" s="26"/>
      <c r="N86" s="26"/>
      <c r="O86" s="26"/>
      <c r="P86" s="26"/>
      <c r="Q86" s="26"/>
      <c r="R86" s="26"/>
      <c r="S86" s="26"/>
      <c r="T86" s="26"/>
      <c r="U86" s="26"/>
      <c r="V86" s="26"/>
      <c r="W86" s="18" t="s">
        <v>451</v>
      </c>
      <c r="X86" s="18"/>
      <c r="Y86" s="26"/>
      <c r="Z86" s="26"/>
      <c r="AA86" s="26"/>
      <c r="AB86" s="26"/>
      <c r="AC86" s="26"/>
    </row>
    <row r="87" spans="1:29" x14ac:dyDescent="0.25">
      <c r="A87" s="26"/>
      <c r="B87" s="26"/>
      <c r="C87" s="26"/>
      <c r="D87" s="26"/>
      <c r="E87" s="26"/>
      <c r="F87" s="26"/>
      <c r="G87" s="26"/>
      <c r="H87" s="26"/>
      <c r="I87" s="26"/>
      <c r="J87" s="26"/>
      <c r="K87" s="26"/>
      <c r="L87" s="26"/>
      <c r="M87" s="26"/>
      <c r="N87" s="26"/>
      <c r="O87" s="26"/>
      <c r="P87" s="26"/>
      <c r="Q87" s="26"/>
      <c r="R87" s="26"/>
      <c r="S87" s="26"/>
      <c r="T87" s="26"/>
      <c r="U87" s="26"/>
      <c r="V87" s="26"/>
      <c r="W87" s="18" t="s">
        <v>452</v>
      </c>
      <c r="X87" s="18"/>
      <c r="Y87" s="26"/>
      <c r="Z87" s="26"/>
      <c r="AA87" s="26"/>
      <c r="AB87" s="26"/>
      <c r="AC87" s="26"/>
    </row>
    <row r="88" spans="1:29" x14ac:dyDescent="0.25">
      <c r="A88" s="26"/>
      <c r="B88" s="26"/>
      <c r="C88" s="26"/>
      <c r="D88" s="26"/>
      <c r="E88" s="26"/>
      <c r="F88" s="26"/>
      <c r="G88" s="26"/>
      <c r="H88" s="26"/>
      <c r="I88" s="26"/>
      <c r="J88" s="26"/>
      <c r="K88" s="26"/>
      <c r="L88" s="26"/>
      <c r="M88" s="26"/>
      <c r="N88" s="26"/>
      <c r="O88" s="26"/>
      <c r="P88" s="26"/>
      <c r="Q88" s="26"/>
      <c r="R88" s="26"/>
      <c r="S88" s="26"/>
      <c r="T88" s="26"/>
      <c r="U88" s="26"/>
      <c r="V88" s="26"/>
      <c r="W88" s="18" t="s">
        <v>453</v>
      </c>
      <c r="X88" s="18"/>
      <c r="Y88" s="26"/>
      <c r="Z88" s="26"/>
      <c r="AA88" s="26"/>
      <c r="AB88" s="26"/>
      <c r="AC88" s="26"/>
    </row>
    <row r="89" spans="1:29" x14ac:dyDescent="0.25">
      <c r="A89" s="26"/>
      <c r="B89" s="26"/>
      <c r="C89" s="26"/>
      <c r="D89" s="26"/>
      <c r="E89" s="26"/>
      <c r="F89" s="26"/>
      <c r="G89" s="26"/>
      <c r="H89" s="26"/>
      <c r="I89" s="26"/>
      <c r="J89" s="26"/>
      <c r="K89" s="26"/>
      <c r="L89" s="26"/>
      <c r="M89" s="26"/>
      <c r="N89" s="26"/>
      <c r="O89" s="26"/>
      <c r="P89" s="26"/>
      <c r="Q89" s="26"/>
      <c r="R89" s="26"/>
      <c r="S89" s="26"/>
      <c r="T89" s="26"/>
      <c r="U89" s="26"/>
      <c r="V89" s="26"/>
      <c r="W89" s="18" t="s">
        <v>454</v>
      </c>
      <c r="X89" s="18"/>
      <c r="Y89" s="26"/>
      <c r="Z89" s="26"/>
      <c r="AA89" s="26"/>
      <c r="AB89" s="26"/>
      <c r="AC89" s="26"/>
    </row>
    <row r="90" spans="1:29" x14ac:dyDescent="0.25">
      <c r="A90" s="26"/>
      <c r="B90" s="26"/>
      <c r="C90" s="26"/>
      <c r="D90" s="26"/>
      <c r="E90" s="26"/>
      <c r="F90" s="26"/>
      <c r="G90" s="26"/>
      <c r="H90" s="26"/>
      <c r="I90" s="26"/>
      <c r="J90" s="26"/>
      <c r="K90" s="26"/>
      <c r="L90" s="26"/>
      <c r="M90" s="26"/>
      <c r="N90" s="26"/>
      <c r="O90" s="26"/>
      <c r="P90" s="26"/>
      <c r="Q90" s="26"/>
      <c r="R90" s="26"/>
      <c r="S90" s="26"/>
      <c r="T90" s="26"/>
      <c r="U90" s="26"/>
      <c r="V90" s="26"/>
      <c r="W90" s="18" t="s">
        <v>455</v>
      </c>
      <c r="X90" s="18"/>
      <c r="Y90" s="26"/>
      <c r="Z90" s="26"/>
      <c r="AA90" s="26"/>
      <c r="AB90" s="26"/>
      <c r="AC90" s="26"/>
    </row>
    <row r="91" spans="1:29" x14ac:dyDescent="0.25">
      <c r="A91" s="26"/>
      <c r="B91" s="26"/>
      <c r="C91" s="26"/>
      <c r="D91" s="26"/>
      <c r="E91" s="26"/>
      <c r="F91" s="26"/>
      <c r="G91" s="26"/>
      <c r="H91" s="26"/>
      <c r="I91" s="26"/>
      <c r="J91" s="26"/>
      <c r="K91" s="26"/>
      <c r="L91" s="26"/>
      <c r="M91" s="26"/>
      <c r="N91" s="26"/>
      <c r="O91" s="26"/>
      <c r="P91" s="26"/>
      <c r="Q91" s="26"/>
      <c r="R91" s="26"/>
      <c r="S91" s="26"/>
      <c r="T91" s="26"/>
      <c r="U91" s="26"/>
      <c r="V91" s="26"/>
      <c r="W91" s="18" t="s">
        <v>456</v>
      </c>
      <c r="X91" s="18"/>
      <c r="Y91" s="26"/>
      <c r="Z91" s="26"/>
      <c r="AA91" s="26"/>
      <c r="AB91" s="26"/>
      <c r="AC91" s="26"/>
    </row>
    <row r="92" spans="1:29" x14ac:dyDescent="0.25">
      <c r="A92" s="26"/>
      <c r="B92" s="26"/>
      <c r="C92" s="26"/>
      <c r="D92" s="26"/>
      <c r="E92" s="26"/>
      <c r="F92" s="26"/>
      <c r="G92" s="26"/>
      <c r="H92" s="26"/>
      <c r="I92" s="26"/>
      <c r="J92" s="26"/>
      <c r="K92" s="26"/>
      <c r="L92" s="26"/>
      <c r="M92" s="26"/>
      <c r="N92" s="26"/>
      <c r="O92" s="26"/>
      <c r="P92" s="26"/>
      <c r="Q92" s="26"/>
      <c r="R92" s="26"/>
      <c r="S92" s="26"/>
      <c r="T92" s="26"/>
      <c r="U92" s="26"/>
      <c r="V92" s="26"/>
      <c r="W92" s="18" t="s">
        <v>457</v>
      </c>
      <c r="X92" s="18"/>
      <c r="Y92" s="26"/>
      <c r="Z92" s="26"/>
      <c r="AA92" s="26"/>
      <c r="AB92" s="26"/>
      <c r="AC92" s="26"/>
    </row>
    <row r="93" spans="1:29" x14ac:dyDescent="0.25">
      <c r="A93" s="26"/>
      <c r="B93" s="26"/>
      <c r="C93" s="26"/>
      <c r="D93" s="26"/>
      <c r="E93" s="26"/>
      <c r="F93" s="26"/>
      <c r="G93" s="26"/>
      <c r="H93" s="26"/>
      <c r="I93" s="26"/>
      <c r="J93" s="26"/>
      <c r="K93" s="26"/>
      <c r="L93" s="26"/>
      <c r="M93" s="26"/>
      <c r="N93" s="26"/>
      <c r="O93" s="26"/>
      <c r="P93" s="26"/>
      <c r="Q93" s="26"/>
      <c r="R93" s="26"/>
      <c r="S93" s="26"/>
      <c r="T93" s="26"/>
      <c r="U93" s="26"/>
      <c r="V93" s="26"/>
      <c r="W93" s="18" t="s">
        <v>458</v>
      </c>
      <c r="X93" s="18"/>
      <c r="Y93" s="26"/>
      <c r="Z93" s="26"/>
      <c r="AA93" s="26"/>
      <c r="AB93" s="26"/>
      <c r="AC93" s="26"/>
    </row>
    <row r="94" spans="1:29" x14ac:dyDescent="0.25">
      <c r="A94" s="26"/>
      <c r="B94" s="26"/>
      <c r="C94" s="26"/>
      <c r="D94" s="26"/>
      <c r="E94" s="26"/>
      <c r="F94" s="26"/>
      <c r="G94" s="26"/>
      <c r="H94" s="26"/>
      <c r="I94" s="26"/>
      <c r="J94" s="26"/>
      <c r="K94" s="26"/>
      <c r="L94" s="26"/>
      <c r="M94" s="26"/>
      <c r="N94" s="26"/>
      <c r="O94" s="26"/>
      <c r="P94" s="26"/>
      <c r="Q94" s="26"/>
      <c r="R94" s="26"/>
      <c r="S94" s="26"/>
      <c r="T94" s="26"/>
      <c r="U94" s="26"/>
      <c r="V94" s="26"/>
      <c r="W94" s="18" t="s">
        <v>459</v>
      </c>
      <c r="X94" s="18"/>
      <c r="Y94" s="26"/>
      <c r="Z94" s="26"/>
      <c r="AA94" s="26"/>
      <c r="AB94" s="26"/>
      <c r="AC94" s="26"/>
    </row>
    <row r="95" spans="1:29" x14ac:dyDescent="0.25">
      <c r="A95" s="26"/>
      <c r="B95" s="26"/>
      <c r="C95" s="26"/>
      <c r="D95" s="26"/>
      <c r="E95" s="26"/>
      <c r="F95" s="26"/>
      <c r="G95" s="26"/>
      <c r="H95" s="26"/>
      <c r="I95" s="26"/>
      <c r="J95" s="26"/>
      <c r="K95" s="26"/>
      <c r="L95" s="26"/>
      <c r="M95" s="26"/>
      <c r="N95" s="26"/>
      <c r="O95" s="26"/>
      <c r="P95" s="26"/>
      <c r="Q95" s="26"/>
      <c r="R95" s="26"/>
      <c r="S95" s="26"/>
      <c r="T95" s="26"/>
      <c r="U95" s="26"/>
      <c r="V95" s="26"/>
      <c r="W95" s="18" t="s">
        <v>460</v>
      </c>
      <c r="X95" s="18"/>
      <c r="Y95" s="26"/>
      <c r="Z95" s="26"/>
      <c r="AA95" s="26"/>
      <c r="AB95" s="26"/>
      <c r="AC95" s="26"/>
    </row>
    <row r="96" spans="1:29" x14ac:dyDescent="0.25">
      <c r="A96" s="26"/>
      <c r="B96" s="26"/>
      <c r="C96" s="26"/>
      <c r="D96" s="26"/>
      <c r="E96" s="26"/>
      <c r="F96" s="26"/>
      <c r="G96" s="26"/>
      <c r="H96" s="26"/>
      <c r="I96" s="26"/>
      <c r="J96" s="26"/>
      <c r="K96" s="26"/>
      <c r="L96" s="26"/>
      <c r="M96" s="26"/>
      <c r="N96" s="26"/>
      <c r="O96" s="26"/>
      <c r="P96" s="26"/>
      <c r="Q96" s="26"/>
      <c r="R96" s="26"/>
      <c r="S96" s="26"/>
      <c r="T96" s="26"/>
      <c r="U96" s="26"/>
      <c r="V96" s="26"/>
      <c r="W96" s="18" t="s">
        <v>461</v>
      </c>
      <c r="X96" s="18"/>
      <c r="Y96" s="26"/>
      <c r="Z96" s="26"/>
      <c r="AA96" s="26"/>
      <c r="AB96" s="26"/>
      <c r="AC96" s="26"/>
    </row>
    <row r="97" spans="1:29" x14ac:dyDescent="0.25">
      <c r="A97" s="26"/>
      <c r="B97" s="26"/>
      <c r="C97" s="26"/>
      <c r="D97" s="26"/>
      <c r="E97" s="26"/>
      <c r="F97" s="26"/>
      <c r="G97" s="26"/>
      <c r="H97" s="26"/>
      <c r="I97" s="26"/>
      <c r="J97" s="26"/>
      <c r="K97" s="26"/>
      <c r="L97" s="26"/>
      <c r="M97" s="26"/>
      <c r="N97" s="26"/>
      <c r="O97" s="26"/>
      <c r="P97" s="26"/>
      <c r="Q97" s="26"/>
      <c r="R97" s="26"/>
      <c r="S97" s="26"/>
      <c r="T97" s="26"/>
      <c r="U97" s="26"/>
      <c r="V97" s="26"/>
      <c r="W97" s="18" t="s">
        <v>462</v>
      </c>
      <c r="X97" s="18"/>
      <c r="Y97" s="26"/>
      <c r="Z97" s="26"/>
      <c r="AA97" s="26"/>
      <c r="AB97" s="26"/>
      <c r="AC97" s="26"/>
    </row>
    <row r="98" spans="1:29" x14ac:dyDescent="0.25">
      <c r="A98" s="26"/>
      <c r="B98" s="26"/>
      <c r="C98" s="26"/>
      <c r="D98" s="26"/>
      <c r="E98" s="26"/>
      <c r="F98" s="26"/>
      <c r="G98" s="26"/>
      <c r="H98" s="26"/>
      <c r="I98" s="26"/>
      <c r="J98" s="26"/>
      <c r="K98" s="26"/>
      <c r="L98" s="26"/>
      <c r="M98" s="26"/>
      <c r="N98" s="26"/>
      <c r="O98" s="26"/>
      <c r="P98" s="26"/>
      <c r="Q98" s="26"/>
      <c r="R98" s="26"/>
      <c r="S98" s="26"/>
      <c r="T98" s="26"/>
      <c r="U98" s="26"/>
      <c r="V98" s="26"/>
      <c r="W98" s="18" t="s">
        <v>463</v>
      </c>
      <c r="X98" s="18"/>
      <c r="Y98" s="26"/>
      <c r="Z98" s="26"/>
      <c r="AA98" s="26"/>
      <c r="AB98" s="26"/>
      <c r="AC98" s="26"/>
    </row>
    <row r="99" spans="1:29" x14ac:dyDescent="0.25">
      <c r="A99" s="26"/>
      <c r="B99" s="26"/>
      <c r="C99" s="26"/>
      <c r="D99" s="26"/>
      <c r="E99" s="26"/>
      <c r="F99" s="26"/>
      <c r="G99" s="26"/>
      <c r="H99" s="26"/>
      <c r="I99" s="26"/>
      <c r="J99" s="26"/>
      <c r="K99" s="26"/>
      <c r="L99" s="26"/>
      <c r="M99" s="26"/>
      <c r="N99" s="26"/>
      <c r="O99" s="26"/>
      <c r="P99" s="26"/>
      <c r="Q99" s="26"/>
      <c r="R99" s="26"/>
      <c r="S99" s="26"/>
      <c r="T99" s="26"/>
      <c r="U99" s="26"/>
      <c r="V99" s="26"/>
      <c r="W99" s="18" t="s">
        <v>464</v>
      </c>
      <c r="X99" s="18"/>
      <c r="Y99" s="26"/>
      <c r="Z99" s="26"/>
      <c r="AA99" s="26"/>
      <c r="AB99" s="26"/>
      <c r="AC99" s="26"/>
    </row>
    <row r="100" spans="1:29"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18" t="s">
        <v>465</v>
      </c>
      <c r="X100" s="18"/>
      <c r="Y100" s="26"/>
      <c r="Z100" s="26"/>
      <c r="AA100" s="26"/>
      <c r="AB100" s="26"/>
      <c r="AC100" s="26"/>
    </row>
    <row r="101" spans="1:29"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18" t="s">
        <v>466</v>
      </c>
      <c r="X101" s="18"/>
      <c r="Y101" s="26"/>
      <c r="Z101" s="26"/>
      <c r="AA101" s="26"/>
      <c r="AB101" s="26"/>
      <c r="AC101" s="26"/>
    </row>
    <row r="102" spans="1:29"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18" t="s">
        <v>467</v>
      </c>
      <c r="X102" s="18"/>
      <c r="Y102" s="26"/>
      <c r="Z102" s="26"/>
      <c r="AA102" s="26"/>
      <c r="AB102" s="26"/>
      <c r="AC102" s="26"/>
    </row>
    <row r="103" spans="1:29"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18" t="s">
        <v>468</v>
      </c>
      <c r="X103" s="18"/>
      <c r="Y103" s="26"/>
      <c r="Z103" s="26"/>
      <c r="AA103" s="26"/>
      <c r="AB103" s="26"/>
      <c r="AC103" s="26"/>
    </row>
    <row r="104" spans="1:29"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18" t="s">
        <v>469</v>
      </c>
      <c r="X104" s="18"/>
      <c r="Y104" s="26"/>
      <c r="Z104" s="26"/>
      <c r="AA104" s="26"/>
      <c r="AB104" s="26"/>
      <c r="AC104" s="26"/>
    </row>
    <row r="105" spans="1:29"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18" t="s">
        <v>470</v>
      </c>
      <c r="X105" s="18"/>
      <c r="Y105" s="26"/>
      <c r="Z105" s="26"/>
      <c r="AA105" s="26"/>
      <c r="AB105" s="26"/>
      <c r="AC105" s="26"/>
    </row>
    <row r="106" spans="1:29"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18" t="s">
        <v>471</v>
      </c>
      <c r="X106" s="18"/>
      <c r="Y106" s="26"/>
      <c r="Z106" s="26"/>
      <c r="AA106" s="26"/>
      <c r="AB106" s="26"/>
      <c r="AC106" s="26"/>
    </row>
    <row r="107" spans="1:29"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18" t="s">
        <v>472</v>
      </c>
      <c r="X107" s="18"/>
      <c r="Y107" s="26"/>
      <c r="Z107" s="26"/>
      <c r="AA107" s="26"/>
      <c r="AB107" s="26"/>
      <c r="AC107" s="26"/>
    </row>
    <row r="108" spans="1:29"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18" t="s">
        <v>473</v>
      </c>
      <c r="X108" s="18"/>
      <c r="Y108" s="26"/>
      <c r="Z108" s="26"/>
      <c r="AA108" s="26"/>
      <c r="AB108" s="26"/>
      <c r="AC108" s="26"/>
    </row>
    <row r="109" spans="1:29"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18" t="s">
        <v>474</v>
      </c>
      <c r="X109" s="18"/>
      <c r="Y109" s="26"/>
      <c r="Z109" s="26"/>
      <c r="AA109" s="26"/>
      <c r="AB109" s="26"/>
      <c r="AC109" s="26"/>
    </row>
    <row r="110" spans="1:29"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18" t="s">
        <v>475</v>
      </c>
      <c r="X110" s="18"/>
      <c r="Y110" s="26"/>
      <c r="Z110" s="26"/>
      <c r="AA110" s="26"/>
      <c r="AB110" s="26"/>
      <c r="AC110" s="26"/>
    </row>
    <row r="111" spans="1:29"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18" t="s">
        <v>476</v>
      </c>
      <c r="X111" s="18"/>
      <c r="Y111" s="26"/>
      <c r="Z111" s="26"/>
      <c r="AA111" s="26"/>
      <c r="AB111" s="26"/>
      <c r="AC111" s="26"/>
    </row>
    <row r="112" spans="1:29"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18" t="s">
        <v>477</v>
      </c>
      <c r="X112" s="18"/>
      <c r="Y112" s="26"/>
      <c r="Z112" s="26"/>
      <c r="AA112" s="26"/>
      <c r="AB112" s="26"/>
      <c r="AC112" s="26"/>
    </row>
    <row r="113" spans="1:29"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18" t="s">
        <v>478</v>
      </c>
      <c r="X113" s="18"/>
      <c r="Y113" s="26"/>
      <c r="Z113" s="26"/>
      <c r="AA113" s="26"/>
      <c r="AB113" s="26"/>
      <c r="AC113" s="26"/>
    </row>
    <row r="114" spans="1:29"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18" t="s">
        <v>479</v>
      </c>
      <c r="X114" s="18"/>
      <c r="Y114" s="26"/>
      <c r="Z114" s="26"/>
      <c r="AA114" s="26"/>
      <c r="AB114" s="26"/>
      <c r="AC114" s="26"/>
    </row>
    <row r="115" spans="1:29"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18" t="s">
        <v>480</v>
      </c>
      <c r="X115" s="18"/>
      <c r="Y115" s="26"/>
      <c r="Z115" s="26"/>
      <c r="AA115" s="26"/>
      <c r="AB115" s="26"/>
      <c r="AC115" s="26"/>
    </row>
    <row r="116" spans="1:29"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18" t="s">
        <v>481</v>
      </c>
      <c r="X116" s="18"/>
      <c r="Y116" s="26"/>
      <c r="Z116" s="26"/>
      <c r="AA116" s="26"/>
      <c r="AB116" s="26"/>
      <c r="AC116" s="26"/>
    </row>
    <row r="117" spans="1:29"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18" t="s">
        <v>482</v>
      </c>
      <c r="X117" s="18"/>
      <c r="Y117" s="26"/>
      <c r="Z117" s="26"/>
      <c r="AA117" s="26"/>
      <c r="AB117" s="26"/>
      <c r="AC117" s="26"/>
    </row>
    <row r="118" spans="1:29"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18" t="s">
        <v>483</v>
      </c>
      <c r="X118" s="18"/>
      <c r="Y118" s="26"/>
      <c r="Z118" s="26"/>
      <c r="AA118" s="26"/>
      <c r="AB118" s="26"/>
      <c r="AC118" s="26"/>
    </row>
    <row r="119" spans="1:29"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18" t="s">
        <v>484</v>
      </c>
      <c r="X119" s="18"/>
      <c r="Y119" s="26"/>
      <c r="Z119" s="26"/>
      <c r="AA119" s="26"/>
      <c r="AB119" s="26"/>
      <c r="AC119" s="26"/>
    </row>
    <row r="120" spans="1:29"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18" t="s">
        <v>485</v>
      </c>
      <c r="X120" s="18"/>
      <c r="Y120" s="26"/>
      <c r="Z120" s="26"/>
      <c r="AA120" s="26"/>
      <c r="AB120" s="26"/>
      <c r="AC120" s="26"/>
    </row>
    <row r="121" spans="1:29"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18" t="s">
        <v>486</v>
      </c>
      <c r="X121" s="18"/>
      <c r="Y121" s="26"/>
      <c r="Z121" s="26"/>
      <c r="AA121" s="26"/>
      <c r="AB121" s="26"/>
      <c r="AC121" s="26"/>
    </row>
    <row r="122" spans="1:29"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18" t="s">
        <v>487</v>
      </c>
      <c r="X122" s="18"/>
      <c r="Y122" s="26"/>
      <c r="Z122" s="26"/>
      <c r="AA122" s="26"/>
      <c r="AB122" s="26"/>
      <c r="AC122" s="26"/>
    </row>
    <row r="123" spans="1:29"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18" t="s">
        <v>488</v>
      </c>
      <c r="X123" s="18"/>
      <c r="Y123" s="26"/>
      <c r="Z123" s="26"/>
      <c r="AA123" s="26"/>
      <c r="AB123" s="26"/>
      <c r="AC123" s="26"/>
    </row>
    <row r="124" spans="1:29"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18" t="s">
        <v>489</v>
      </c>
      <c r="X124" s="18"/>
      <c r="Y124" s="26"/>
      <c r="Z124" s="26"/>
      <c r="AA124" s="26"/>
      <c r="AB124" s="26"/>
      <c r="AC124" s="26"/>
    </row>
    <row r="125" spans="1:29"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18" t="s">
        <v>490</v>
      </c>
      <c r="X125" s="18"/>
      <c r="Y125" s="26"/>
      <c r="Z125" s="26"/>
      <c r="AA125" s="26"/>
      <c r="AB125" s="26"/>
      <c r="AC125" s="26"/>
    </row>
    <row r="126" spans="1:29"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18" t="s">
        <v>491</v>
      </c>
      <c r="X126" s="18"/>
      <c r="Y126" s="26"/>
      <c r="Z126" s="26"/>
      <c r="AA126" s="26"/>
      <c r="AB126" s="26"/>
      <c r="AC126" s="26"/>
    </row>
    <row r="127" spans="1:29"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18" t="s">
        <v>492</v>
      </c>
      <c r="X127" s="18"/>
      <c r="Y127" s="26"/>
      <c r="Z127" s="26"/>
      <c r="AA127" s="26"/>
      <c r="AB127" s="26"/>
      <c r="AC127" s="26"/>
    </row>
    <row r="128" spans="1:29"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18" t="s">
        <v>493</v>
      </c>
      <c r="X128" s="18"/>
      <c r="Y128" s="26"/>
      <c r="Z128" s="26"/>
      <c r="AA128" s="26"/>
      <c r="AB128" s="26"/>
      <c r="AC128" s="26"/>
    </row>
    <row r="129" spans="1:29"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18" t="s">
        <v>494</v>
      </c>
      <c r="X129" s="18"/>
      <c r="Y129" s="26"/>
      <c r="Z129" s="26"/>
      <c r="AA129" s="26"/>
      <c r="AB129" s="26"/>
      <c r="AC129" s="26"/>
    </row>
    <row r="130" spans="1:29"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18" t="s">
        <v>495</v>
      </c>
      <c r="X130" s="18"/>
      <c r="Y130" s="26"/>
      <c r="Z130" s="26"/>
      <c r="AA130" s="26"/>
      <c r="AB130" s="26"/>
      <c r="AC130" s="26"/>
    </row>
    <row r="131" spans="1:29"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18" t="s">
        <v>496</v>
      </c>
      <c r="X131" s="18"/>
      <c r="Y131" s="26"/>
      <c r="Z131" s="26"/>
      <c r="AA131" s="26"/>
      <c r="AB131" s="26"/>
      <c r="AC131" s="26"/>
    </row>
    <row r="132" spans="1:29"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18" t="s">
        <v>497</v>
      </c>
      <c r="X132" s="18"/>
      <c r="Y132" s="26"/>
      <c r="Z132" s="26"/>
      <c r="AA132" s="26"/>
      <c r="AB132" s="26"/>
      <c r="AC132" s="26"/>
    </row>
    <row r="133" spans="1:29"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18" t="s">
        <v>498</v>
      </c>
      <c r="X133" s="18"/>
      <c r="Y133" s="26"/>
      <c r="Z133" s="26"/>
      <c r="AA133" s="26"/>
      <c r="AB133" s="26"/>
      <c r="AC133" s="26"/>
    </row>
    <row r="134" spans="1:29"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18" t="s">
        <v>499</v>
      </c>
      <c r="X134" s="18"/>
      <c r="Y134" s="26"/>
      <c r="Z134" s="26"/>
      <c r="AA134" s="26"/>
      <c r="AB134" s="26"/>
      <c r="AC134" s="26"/>
    </row>
    <row r="135" spans="1:29"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18" t="s">
        <v>500</v>
      </c>
      <c r="X135" s="18"/>
      <c r="Y135" s="26"/>
      <c r="Z135" s="26"/>
      <c r="AA135" s="26"/>
      <c r="AB135" s="26"/>
      <c r="AC135" s="26"/>
    </row>
    <row r="136" spans="1:29"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18" t="s">
        <v>501</v>
      </c>
      <c r="X136" s="18"/>
      <c r="Y136" s="26"/>
      <c r="Z136" s="26"/>
      <c r="AA136" s="26"/>
      <c r="AB136" s="26"/>
      <c r="AC136" s="26"/>
    </row>
    <row r="137" spans="1:29"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18" t="s">
        <v>502</v>
      </c>
      <c r="X137" s="18"/>
      <c r="Y137" s="26"/>
      <c r="Z137" s="26"/>
      <c r="AA137" s="26"/>
      <c r="AB137" s="26"/>
      <c r="AC137" s="26"/>
    </row>
    <row r="138" spans="1:29"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18" t="s">
        <v>503</v>
      </c>
      <c r="X138" s="18"/>
      <c r="Y138" s="26"/>
      <c r="Z138" s="26"/>
      <c r="AA138" s="26"/>
      <c r="AB138" s="26"/>
      <c r="AC138" s="26"/>
    </row>
    <row r="139" spans="1:29"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18" t="s">
        <v>504</v>
      </c>
      <c r="X139" s="18"/>
      <c r="Y139" s="26"/>
      <c r="Z139" s="26"/>
      <c r="AA139" s="26"/>
      <c r="AB139" s="26"/>
      <c r="AC139" s="26"/>
    </row>
    <row r="140" spans="1:29"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18" t="s">
        <v>505</v>
      </c>
      <c r="X140" s="18"/>
      <c r="Y140" s="26"/>
      <c r="Z140" s="26"/>
      <c r="AA140" s="26"/>
      <c r="AB140" s="26"/>
      <c r="AC140" s="26"/>
    </row>
    <row r="141" spans="1:29"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18" t="s">
        <v>506</v>
      </c>
      <c r="X141" s="18"/>
      <c r="Y141" s="26"/>
      <c r="Z141" s="26"/>
      <c r="AA141" s="26"/>
      <c r="AB141" s="26"/>
      <c r="AC141" s="26"/>
    </row>
    <row r="142" spans="1:29"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18" t="s">
        <v>507</v>
      </c>
      <c r="X142" s="18"/>
      <c r="Y142" s="26"/>
      <c r="Z142" s="26"/>
      <c r="AA142" s="26"/>
      <c r="AB142" s="26"/>
      <c r="AC142" s="26"/>
    </row>
    <row r="143" spans="1:29"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18" t="s">
        <v>508</v>
      </c>
      <c r="X143" s="18"/>
      <c r="Y143" s="26"/>
      <c r="Z143" s="26"/>
      <c r="AA143" s="26"/>
      <c r="AB143" s="26"/>
      <c r="AC143" s="26"/>
    </row>
    <row r="144" spans="1:29"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18" t="s">
        <v>509</v>
      </c>
      <c r="X144" s="18"/>
      <c r="Y144" s="26"/>
      <c r="Z144" s="26"/>
      <c r="AA144" s="26"/>
      <c r="AB144" s="26"/>
      <c r="AC144" s="26"/>
    </row>
    <row r="145" spans="1:29"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18" t="s">
        <v>510</v>
      </c>
      <c r="X145" s="18"/>
      <c r="Y145" s="26"/>
      <c r="Z145" s="26"/>
      <c r="AA145" s="26"/>
      <c r="AB145" s="26"/>
      <c r="AC145" s="26"/>
    </row>
    <row r="146" spans="1:29"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18" t="s">
        <v>511</v>
      </c>
      <c r="X146" s="18"/>
      <c r="Y146" s="26"/>
      <c r="Z146" s="26"/>
      <c r="AA146" s="26"/>
      <c r="AB146" s="26"/>
      <c r="AC146" s="26"/>
    </row>
    <row r="147" spans="1:29"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18" t="s">
        <v>512</v>
      </c>
      <c r="X147" s="18"/>
      <c r="Y147" s="26"/>
      <c r="Z147" s="26"/>
      <c r="AA147" s="26"/>
      <c r="AB147" s="26"/>
      <c r="AC147" s="26"/>
    </row>
    <row r="148" spans="1:29"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18" t="s">
        <v>513</v>
      </c>
      <c r="X148" s="18"/>
      <c r="Y148" s="26"/>
      <c r="Z148" s="26"/>
      <c r="AA148" s="26"/>
      <c r="AB148" s="26"/>
      <c r="AC148" s="26"/>
    </row>
    <row r="149" spans="1:29"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18" t="s">
        <v>514</v>
      </c>
      <c r="X149" s="18"/>
      <c r="Y149" s="26"/>
      <c r="Z149" s="26"/>
      <c r="AA149" s="26"/>
      <c r="AB149" s="26"/>
      <c r="AC149" s="26"/>
    </row>
    <row r="150" spans="1:29"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18" t="s">
        <v>515</v>
      </c>
      <c r="X150" s="18"/>
      <c r="Y150" s="26"/>
      <c r="Z150" s="26"/>
      <c r="AA150" s="26"/>
      <c r="AB150" s="26"/>
      <c r="AC150" s="26"/>
    </row>
    <row r="151" spans="1:29"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18" t="s">
        <v>516</v>
      </c>
      <c r="X151" s="18"/>
      <c r="Y151" s="26"/>
      <c r="Z151" s="26"/>
      <c r="AA151" s="26"/>
      <c r="AB151" s="26"/>
      <c r="AC151" s="26"/>
    </row>
    <row r="152" spans="1:29"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18" t="s">
        <v>517</v>
      </c>
      <c r="X152" s="18"/>
      <c r="Y152" s="26"/>
      <c r="Z152" s="26"/>
      <c r="AA152" s="26"/>
      <c r="AB152" s="26"/>
      <c r="AC152" s="26"/>
    </row>
    <row r="153" spans="1:29"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18" t="s">
        <v>518</v>
      </c>
      <c r="X153" s="18"/>
      <c r="Y153" s="26"/>
      <c r="Z153" s="26"/>
      <c r="AA153" s="26"/>
      <c r="AB153" s="26"/>
      <c r="AC153" s="26"/>
    </row>
    <row r="154" spans="1:29"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18" t="s">
        <v>519</v>
      </c>
      <c r="X154" s="18"/>
      <c r="Y154" s="26"/>
      <c r="Z154" s="26"/>
      <c r="AA154" s="26"/>
      <c r="AB154" s="26"/>
      <c r="AC154" s="26"/>
    </row>
    <row r="155" spans="1:29"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18" t="s">
        <v>520</v>
      </c>
      <c r="X155" s="18"/>
      <c r="Y155" s="26"/>
      <c r="Z155" s="26"/>
      <c r="AA155" s="26"/>
      <c r="AB155" s="26"/>
      <c r="AC155" s="26"/>
    </row>
    <row r="156" spans="1:29"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18" t="s">
        <v>521</v>
      </c>
      <c r="X156" s="18"/>
      <c r="Y156" s="26"/>
      <c r="Z156" s="26"/>
      <c r="AA156" s="26"/>
      <c r="AB156" s="26"/>
      <c r="AC156" s="26"/>
    </row>
    <row r="157" spans="1:29"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18" t="s">
        <v>522</v>
      </c>
      <c r="X157" s="18"/>
      <c r="Y157" s="26"/>
      <c r="Z157" s="26"/>
      <c r="AA157" s="26"/>
      <c r="AB157" s="26"/>
      <c r="AC157" s="26"/>
    </row>
    <row r="158" spans="1:29"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18" t="s">
        <v>523</v>
      </c>
      <c r="X158" s="18"/>
      <c r="Y158" s="26"/>
      <c r="Z158" s="26"/>
      <c r="AA158" s="26"/>
      <c r="AB158" s="26"/>
      <c r="AC158" s="26"/>
    </row>
    <row r="159" spans="1:29"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18" t="s">
        <v>524</v>
      </c>
      <c r="X159" s="18"/>
      <c r="Y159" s="26"/>
      <c r="Z159" s="26"/>
      <c r="AA159" s="26"/>
      <c r="AB159" s="26"/>
      <c r="AC159" s="26"/>
    </row>
    <row r="160" spans="1:29"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18" t="s">
        <v>525</v>
      </c>
      <c r="X160" s="18"/>
      <c r="Y160" s="26"/>
      <c r="Z160" s="26"/>
      <c r="AA160" s="26"/>
      <c r="AB160" s="26"/>
      <c r="AC160" s="26"/>
    </row>
    <row r="161" spans="1:29"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18" t="s">
        <v>526</v>
      </c>
      <c r="X161" s="18"/>
      <c r="Y161" s="26"/>
      <c r="Z161" s="26"/>
      <c r="AA161" s="26"/>
      <c r="AB161" s="26"/>
      <c r="AC161" s="26"/>
    </row>
    <row r="162" spans="1:29"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18" t="s">
        <v>527</v>
      </c>
      <c r="X162" s="18"/>
      <c r="Y162" s="26"/>
      <c r="Z162" s="26"/>
      <c r="AA162" s="26"/>
      <c r="AB162" s="26"/>
      <c r="AC162" s="26"/>
    </row>
    <row r="163" spans="1:29"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18" t="s">
        <v>528</v>
      </c>
      <c r="X163" s="18"/>
      <c r="Y163" s="26"/>
      <c r="Z163" s="26"/>
      <c r="AA163" s="26"/>
      <c r="AB163" s="26"/>
      <c r="AC163" s="26"/>
    </row>
    <row r="164" spans="1:29"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18" t="s">
        <v>529</v>
      </c>
      <c r="X164" s="18"/>
      <c r="Y164" s="26"/>
      <c r="Z164" s="26"/>
      <c r="AA164" s="26"/>
      <c r="AB164" s="26"/>
      <c r="AC164" s="26"/>
    </row>
    <row r="165" spans="1:29"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18" t="s">
        <v>530</v>
      </c>
      <c r="X165" s="18"/>
      <c r="Y165" s="26"/>
      <c r="Z165" s="26"/>
      <c r="AA165" s="26"/>
      <c r="AB165" s="26"/>
      <c r="AC165" s="26"/>
    </row>
    <row r="166" spans="1:29"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18" t="s">
        <v>531</v>
      </c>
      <c r="X166" s="18"/>
      <c r="Y166" s="26"/>
      <c r="Z166" s="26"/>
      <c r="AA166" s="26"/>
      <c r="AB166" s="26"/>
      <c r="AC166" s="26"/>
    </row>
    <row r="167" spans="1:29"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18" t="s">
        <v>532</v>
      </c>
      <c r="X167" s="18"/>
      <c r="Y167" s="26"/>
      <c r="Z167" s="26"/>
      <c r="AA167" s="26"/>
      <c r="AB167" s="26"/>
      <c r="AC167" s="26"/>
    </row>
    <row r="168" spans="1:29"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18" t="s">
        <v>533</v>
      </c>
      <c r="X168" s="18"/>
      <c r="Y168" s="26"/>
      <c r="Z168" s="26"/>
      <c r="AA168" s="26"/>
      <c r="AB168" s="26"/>
      <c r="AC168" s="26"/>
    </row>
    <row r="169" spans="1:29"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18" t="s">
        <v>534</v>
      </c>
      <c r="X169" s="18"/>
      <c r="Y169" s="26"/>
      <c r="Z169" s="26"/>
      <c r="AA169" s="26"/>
      <c r="AB169" s="26"/>
      <c r="AC169" s="26"/>
    </row>
    <row r="170" spans="1:29"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18" t="s">
        <v>535</v>
      </c>
      <c r="X170" s="18"/>
      <c r="Y170" s="26"/>
      <c r="Z170" s="26"/>
      <c r="AA170" s="26"/>
      <c r="AB170" s="26"/>
      <c r="AC170" s="26"/>
    </row>
    <row r="171" spans="1:29"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18" t="s">
        <v>536</v>
      </c>
      <c r="X171" s="18"/>
      <c r="Y171" s="26"/>
      <c r="Z171" s="26"/>
      <c r="AA171" s="26"/>
      <c r="AB171" s="26"/>
      <c r="AC171" s="26"/>
    </row>
    <row r="172" spans="1:29"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18" t="s">
        <v>537</v>
      </c>
      <c r="X172" s="18"/>
      <c r="Y172" s="26"/>
      <c r="Z172" s="26"/>
      <c r="AA172" s="26"/>
      <c r="AB172" s="26"/>
      <c r="AC172" s="26"/>
    </row>
    <row r="173" spans="1:29"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18" t="s">
        <v>538</v>
      </c>
      <c r="X173" s="18"/>
      <c r="Y173" s="26"/>
      <c r="Z173" s="26"/>
      <c r="AA173" s="26"/>
      <c r="AB173" s="26"/>
      <c r="AC173" s="26"/>
    </row>
    <row r="174" spans="1:29"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18" t="s">
        <v>539</v>
      </c>
      <c r="X174" s="18"/>
      <c r="Y174" s="26"/>
      <c r="Z174" s="26"/>
      <c r="AA174" s="26"/>
      <c r="AB174" s="26"/>
      <c r="AC174" s="26"/>
    </row>
    <row r="175" spans="1:29"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18" t="s">
        <v>540</v>
      </c>
      <c r="X175" s="18"/>
      <c r="Y175" s="26"/>
      <c r="Z175" s="26"/>
      <c r="AA175" s="26"/>
      <c r="AB175" s="26"/>
      <c r="AC175" s="26"/>
    </row>
    <row r="176" spans="1:29"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18" t="s">
        <v>541</v>
      </c>
      <c r="X176" s="18"/>
      <c r="Y176" s="26"/>
      <c r="Z176" s="26"/>
      <c r="AA176" s="26"/>
      <c r="AB176" s="26"/>
      <c r="AC176" s="26"/>
    </row>
    <row r="177" spans="1:29"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18" t="s">
        <v>542</v>
      </c>
      <c r="X177" s="18"/>
      <c r="Y177" s="26"/>
      <c r="Z177" s="26"/>
      <c r="AA177" s="26"/>
      <c r="AB177" s="26"/>
      <c r="AC177" s="26"/>
    </row>
    <row r="178" spans="1:29"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18" t="s">
        <v>543</v>
      </c>
      <c r="X178" s="18"/>
      <c r="Y178" s="26"/>
      <c r="Z178" s="26"/>
      <c r="AA178" s="26"/>
      <c r="AB178" s="26"/>
      <c r="AC178" s="26"/>
    </row>
    <row r="179" spans="1:29"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18" t="s">
        <v>544</v>
      </c>
      <c r="X179" s="18"/>
      <c r="Y179" s="26"/>
      <c r="Z179" s="26"/>
      <c r="AA179" s="26"/>
      <c r="AB179" s="26"/>
      <c r="AC179" s="26"/>
    </row>
    <row r="180" spans="1:29"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18" t="s">
        <v>545</v>
      </c>
      <c r="X180" s="18"/>
      <c r="Y180" s="26"/>
      <c r="Z180" s="26"/>
      <c r="AA180" s="26"/>
      <c r="AB180" s="26"/>
      <c r="AC180" s="26"/>
    </row>
    <row r="181" spans="1:29"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18" t="s">
        <v>546</v>
      </c>
      <c r="X181" s="18"/>
      <c r="Y181" s="26"/>
      <c r="Z181" s="26"/>
      <c r="AA181" s="26"/>
      <c r="AB181" s="26"/>
      <c r="AC181" s="26"/>
    </row>
    <row r="182" spans="1:29"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18" t="s">
        <v>547</v>
      </c>
      <c r="X182" s="18"/>
      <c r="Y182" s="26"/>
      <c r="Z182" s="26"/>
      <c r="AA182" s="26"/>
      <c r="AB182" s="26"/>
      <c r="AC182" s="26"/>
    </row>
    <row r="183" spans="1:29"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18" t="s">
        <v>548</v>
      </c>
      <c r="X183" s="18"/>
      <c r="Y183" s="26"/>
      <c r="Z183" s="26"/>
      <c r="AA183" s="26"/>
      <c r="AB183" s="26"/>
      <c r="AC183" s="26"/>
    </row>
    <row r="184" spans="1:29"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18" t="s">
        <v>549</v>
      </c>
      <c r="X184" s="18"/>
      <c r="Y184" s="26"/>
      <c r="Z184" s="26"/>
      <c r="AA184" s="26"/>
      <c r="AB184" s="26"/>
      <c r="AC184" s="26"/>
    </row>
    <row r="185" spans="1:29"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18" t="s">
        <v>550</v>
      </c>
      <c r="X185" s="18"/>
      <c r="Y185" s="26"/>
      <c r="Z185" s="26"/>
      <c r="AA185" s="26"/>
      <c r="AB185" s="26"/>
      <c r="AC185" s="26"/>
    </row>
    <row r="186" spans="1:29"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18" t="s">
        <v>551</v>
      </c>
      <c r="X186" s="18"/>
      <c r="Y186" s="26"/>
      <c r="Z186" s="26"/>
      <c r="AA186" s="26"/>
      <c r="AB186" s="26"/>
      <c r="AC186" s="26"/>
    </row>
    <row r="187" spans="1:29"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18" t="s">
        <v>552</v>
      </c>
      <c r="X187" s="18"/>
      <c r="Y187" s="26"/>
      <c r="Z187" s="26"/>
      <c r="AA187" s="26"/>
      <c r="AB187" s="26"/>
      <c r="AC187" s="26"/>
    </row>
    <row r="188" spans="1:29"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18" t="s">
        <v>553</v>
      </c>
      <c r="X188" s="18"/>
      <c r="Y188" s="26"/>
      <c r="Z188" s="26"/>
      <c r="AA188" s="26"/>
      <c r="AB188" s="26"/>
      <c r="AC188" s="26"/>
    </row>
    <row r="189" spans="1:29"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18" t="s">
        <v>554</v>
      </c>
      <c r="X189" s="18"/>
      <c r="Y189" s="26"/>
      <c r="Z189" s="26"/>
      <c r="AA189" s="26"/>
      <c r="AB189" s="26"/>
      <c r="AC189" s="26"/>
    </row>
    <row r="190" spans="1:29"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18" t="s">
        <v>555</v>
      </c>
      <c r="X190" s="18"/>
      <c r="Y190" s="26"/>
      <c r="Z190" s="26"/>
      <c r="AA190" s="26"/>
      <c r="AB190" s="26"/>
      <c r="AC190" s="26"/>
    </row>
    <row r="191" spans="1:29"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18" t="s">
        <v>556</v>
      </c>
      <c r="X191" s="18"/>
      <c r="Y191" s="26"/>
      <c r="Z191" s="26"/>
      <c r="AA191" s="26"/>
      <c r="AB191" s="26"/>
      <c r="AC191" s="26"/>
    </row>
    <row r="192" spans="1:29"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18" t="s">
        <v>557</v>
      </c>
      <c r="X192" s="18"/>
      <c r="Y192" s="26"/>
      <c r="Z192" s="26"/>
      <c r="AA192" s="26"/>
      <c r="AB192" s="26"/>
      <c r="AC192" s="26"/>
    </row>
    <row r="193" spans="1:29"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18" t="s">
        <v>558</v>
      </c>
      <c r="X193" s="18"/>
      <c r="Y193" s="26"/>
      <c r="Z193" s="26"/>
      <c r="AA193" s="26"/>
      <c r="AB193" s="26"/>
      <c r="AC193" s="26"/>
    </row>
    <row r="194" spans="1:29"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18" t="s">
        <v>559</v>
      </c>
      <c r="X194" s="18"/>
      <c r="Y194" s="26"/>
      <c r="Z194" s="26"/>
      <c r="AA194" s="26"/>
      <c r="AB194" s="26"/>
      <c r="AC194" s="26"/>
    </row>
    <row r="195" spans="1:29"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18" t="s">
        <v>560</v>
      </c>
      <c r="X195" s="18"/>
      <c r="Y195" s="26"/>
      <c r="Z195" s="26"/>
      <c r="AA195" s="26"/>
      <c r="AB195" s="26"/>
      <c r="AC195" s="26"/>
    </row>
    <row r="196" spans="1:29"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18" t="s">
        <v>561</v>
      </c>
      <c r="X196" s="18"/>
      <c r="Y196" s="26"/>
      <c r="Z196" s="26"/>
      <c r="AA196" s="26"/>
      <c r="AB196" s="26"/>
      <c r="AC196" s="26"/>
    </row>
    <row r="197" spans="1:29"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18" t="s">
        <v>562</v>
      </c>
      <c r="X197" s="18"/>
      <c r="Y197" s="26"/>
      <c r="Z197" s="26"/>
      <c r="AA197" s="26"/>
      <c r="AB197" s="26"/>
      <c r="AC197" s="26"/>
    </row>
    <row r="198" spans="1:29"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18" t="s">
        <v>563</v>
      </c>
      <c r="X198" s="18"/>
      <c r="Y198" s="26"/>
      <c r="Z198" s="26"/>
      <c r="AA198" s="26"/>
      <c r="AB198" s="26"/>
      <c r="AC198" s="26"/>
    </row>
    <row r="199" spans="1:29"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18" t="s">
        <v>564</v>
      </c>
      <c r="X199" s="18"/>
      <c r="Y199" s="26"/>
      <c r="Z199" s="26"/>
      <c r="AA199" s="26"/>
      <c r="AB199" s="26"/>
      <c r="AC199" s="26"/>
    </row>
    <row r="200" spans="1:29"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18" t="s">
        <v>565</v>
      </c>
      <c r="X200" s="18"/>
      <c r="Y200" s="26"/>
      <c r="Z200" s="26"/>
      <c r="AA200" s="26"/>
      <c r="AB200" s="26"/>
      <c r="AC200" s="26"/>
    </row>
    <row r="201" spans="1:29"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18" t="s">
        <v>566</v>
      </c>
      <c r="X201" s="18"/>
      <c r="Y201" s="26"/>
      <c r="Z201" s="26"/>
      <c r="AA201" s="26"/>
      <c r="AB201" s="26"/>
      <c r="AC201" s="26"/>
    </row>
    <row r="202" spans="1:29"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18" t="s">
        <v>567</v>
      </c>
      <c r="X202" s="18"/>
      <c r="Y202" s="26"/>
      <c r="Z202" s="26"/>
      <c r="AA202" s="26"/>
      <c r="AB202" s="26"/>
      <c r="AC202" s="26"/>
    </row>
    <row r="203" spans="1:29"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18" t="s">
        <v>568</v>
      </c>
      <c r="X203" s="18"/>
      <c r="Y203" s="26"/>
      <c r="Z203" s="26"/>
      <c r="AA203" s="26"/>
      <c r="AB203" s="26"/>
      <c r="AC203" s="26"/>
    </row>
    <row r="204" spans="1:29"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18" t="s">
        <v>569</v>
      </c>
      <c r="X204" s="18"/>
      <c r="Y204" s="26"/>
      <c r="Z204" s="26"/>
      <c r="AA204" s="26"/>
      <c r="AB204" s="26"/>
      <c r="AC204" s="26"/>
    </row>
    <row r="205" spans="1:29"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18" t="s">
        <v>570</v>
      </c>
      <c r="X205" s="18"/>
      <c r="Y205" s="26"/>
      <c r="Z205" s="26"/>
      <c r="AA205" s="26"/>
      <c r="AB205" s="26"/>
      <c r="AC205" s="26"/>
    </row>
    <row r="206" spans="1:29"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18" t="s">
        <v>571</v>
      </c>
      <c r="X206" s="18"/>
      <c r="Y206" s="26"/>
      <c r="Z206" s="26"/>
      <c r="AA206" s="26"/>
      <c r="AB206" s="26"/>
      <c r="AC206" s="26"/>
    </row>
    <row r="207" spans="1:29"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18" t="s">
        <v>572</v>
      </c>
      <c r="X207" s="18"/>
      <c r="Y207" s="26"/>
      <c r="Z207" s="26"/>
      <c r="AA207" s="26"/>
      <c r="AB207" s="26"/>
      <c r="AC207" s="26"/>
    </row>
    <row r="208" spans="1:29"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18" t="s">
        <v>573</v>
      </c>
      <c r="X208" s="18"/>
      <c r="Y208" s="26"/>
      <c r="Z208" s="26"/>
      <c r="AA208" s="26"/>
      <c r="AB208" s="26"/>
      <c r="AC208" s="26"/>
    </row>
    <row r="209" spans="1:29"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18" t="s">
        <v>574</v>
      </c>
      <c r="X209" s="18"/>
      <c r="Y209" s="26"/>
      <c r="Z209" s="26"/>
      <c r="AA209" s="26"/>
      <c r="AB209" s="26"/>
      <c r="AC209" s="26"/>
    </row>
    <row r="210" spans="1:29"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18" t="s">
        <v>575</v>
      </c>
      <c r="X210" s="18"/>
      <c r="Y210" s="26"/>
      <c r="Z210" s="26"/>
      <c r="AA210" s="26"/>
      <c r="AB210" s="26"/>
      <c r="AC210" s="26"/>
    </row>
    <row r="211" spans="1:29"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18" t="s">
        <v>576</v>
      </c>
      <c r="X211" s="18"/>
      <c r="Y211" s="26"/>
      <c r="Z211" s="26"/>
      <c r="AA211" s="26"/>
      <c r="AB211" s="26"/>
      <c r="AC211" s="26"/>
    </row>
    <row r="212" spans="1:29"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18" t="s">
        <v>577</v>
      </c>
      <c r="X212" s="18"/>
      <c r="Y212" s="26"/>
      <c r="Z212" s="26"/>
      <c r="AA212" s="26"/>
      <c r="AB212" s="26"/>
      <c r="AC212" s="26"/>
    </row>
    <row r="213" spans="1:29"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18" t="s">
        <v>578</v>
      </c>
      <c r="X213" s="18"/>
      <c r="Y213" s="26"/>
      <c r="Z213" s="26"/>
      <c r="AA213" s="26"/>
      <c r="AB213" s="26"/>
      <c r="AC213" s="26"/>
    </row>
    <row r="214" spans="1:29"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18" t="s">
        <v>579</v>
      </c>
      <c r="X214" s="18"/>
      <c r="Y214" s="26"/>
      <c r="Z214" s="26"/>
      <c r="AA214" s="26"/>
      <c r="AB214" s="26"/>
      <c r="AC214" s="26"/>
    </row>
    <row r="215" spans="1:29"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18" t="s">
        <v>580</v>
      </c>
      <c r="X215" s="18"/>
      <c r="Y215" s="26"/>
      <c r="Z215" s="26"/>
      <c r="AA215" s="26"/>
      <c r="AB215" s="26"/>
      <c r="AC215" s="26"/>
    </row>
    <row r="216" spans="1:29"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18" t="s">
        <v>581</v>
      </c>
      <c r="X216" s="18"/>
      <c r="Y216" s="26"/>
      <c r="Z216" s="26"/>
      <c r="AA216" s="26"/>
      <c r="AB216" s="26"/>
      <c r="AC216" s="26"/>
    </row>
    <row r="217" spans="1:29"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18" t="s">
        <v>582</v>
      </c>
      <c r="X217" s="18"/>
      <c r="Y217" s="26"/>
      <c r="Z217" s="26"/>
      <c r="AA217" s="26"/>
      <c r="AB217" s="26"/>
      <c r="AC217" s="26"/>
    </row>
    <row r="218" spans="1:29"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18" t="s">
        <v>583</v>
      </c>
      <c r="X218" s="18"/>
      <c r="Y218" s="26"/>
      <c r="Z218" s="26"/>
      <c r="AA218" s="26"/>
      <c r="AB218" s="26"/>
      <c r="AC218" s="26"/>
    </row>
    <row r="219" spans="1:29"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18" t="s">
        <v>584</v>
      </c>
      <c r="X219" s="18"/>
      <c r="Y219" s="26"/>
      <c r="Z219" s="26"/>
      <c r="AA219" s="26"/>
      <c r="AB219" s="26"/>
      <c r="AC219" s="26"/>
    </row>
    <row r="220" spans="1:29"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18" t="s">
        <v>585</v>
      </c>
      <c r="X220" s="18"/>
      <c r="Y220" s="26"/>
      <c r="Z220" s="26"/>
      <c r="AA220" s="26"/>
      <c r="AB220" s="26"/>
      <c r="AC220" s="26"/>
    </row>
    <row r="221" spans="1:29"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18" t="s">
        <v>586</v>
      </c>
      <c r="X221" s="18"/>
      <c r="Y221" s="26"/>
      <c r="Z221" s="26"/>
      <c r="AA221" s="26"/>
      <c r="AB221" s="26"/>
      <c r="AC221" s="26"/>
    </row>
    <row r="222" spans="1:29"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18" t="s">
        <v>587</v>
      </c>
      <c r="X222" s="18"/>
      <c r="Y222" s="26"/>
      <c r="Z222" s="26"/>
      <c r="AA222" s="26"/>
      <c r="AB222" s="26"/>
      <c r="AC222" s="26"/>
    </row>
    <row r="223" spans="1:29"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18" t="s">
        <v>588</v>
      </c>
      <c r="X223" s="18"/>
      <c r="Y223" s="26"/>
      <c r="Z223" s="26"/>
      <c r="AA223" s="26"/>
      <c r="AB223" s="26"/>
      <c r="AC223" s="26"/>
    </row>
    <row r="224" spans="1:29"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18" t="s">
        <v>589</v>
      </c>
      <c r="X224" s="18"/>
      <c r="Y224" s="26"/>
      <c r="Z224" s="26"/>
      <c r="AA224" s="26"/>
      <c r="AB224" s="26"/>
      <c r="AC224" s="26"/>
    </row>
    <row r="225" spans="1:29"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18" t="s">
        <v>590</v>
      </c>
      <c r="X225" s="18"/>
      <c r="Y225" s="26"/>
      <c r="Z225" s="26"/>
      <c r="AA225" s="26"/>
      <c r="AB225" s="26"/>
      <c r="AC225" s="26"/>
    </row>
    <row r="226" spans="1:29"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18" t="s">
        <v>591</v>
      </c>
      <c r="X226" s="18"/>
      <c r="Y226" s="26"/>
      <c r="Z226" s="26"/>
      <c r="AA226" s="26"/>
      <c r="AB226" s="26"/>
      <c r="AC226" s="26"/>
    </row>
    <row r="227" spans="1:29"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18" t="s">
        <v>592</v>
      </c>
      <c r="X227" s="18"/>
      <c r="Y227" s="26"/>
      <c r="Z227" s="26"/>
      <c r="AA227" s="26"/>
      <c r="AB227" s="26"/>
      <c r="AC227" s="26"/>
    </row>
    <row r="228" spans="1:29"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18" t="s">
        <v>593</v>
      </c>
      <c r="X228" s="18"/>
      <c r="Y228" s="26"/>
      <c r="Z228" s="26"/>
      <c r="AA228" s="26"/>
      <c r="AB228" s="26"/>
      <c r="AC228" s="26"/>
    </row>
    <row r="229" spans="1:29"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18" t="s">
        <v>594</v>
      </c>
      <c r="X229" s="18"/>
      <c r="Y229" s="26"/>
      <c r="Z229" s="26"/>
      <c r="AA229" s="26"/>
      <c r="AB229" s="26"/>
      <c r="AC229" s="26"/>
    </row>
    <row r="230" spans="1:29"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18" t="s">
        <v>595</v>
      </c>
      <c r="X230" s="18"/>
      <c r="Y230" s="26"/>
      <c r="Z230" s="26"/>
      <c r="AA230" s="26"/>
      <c r="AB230" s="26"/>
      <c r="AC230" s="26"/>
    </row>
    <row r="231" spans="1:29"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18" t="s">
        <v>596</v>
      </c>
      <c r="X231" s="18"/>
      <c r="Y231" s="26"/>
      <c r="Z231" s="26"/>
      <c r="AA231" s="26"/>
      <c r="AB231" s="26"/>
      <c r="AC231" s="26"/>
    </row>
    <row r="232" spans="1:29"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18" t="s">
        <v>597</v>
      </c>
      <c r="X232" s="18"/>
      <c r="Y232" s="26"/>
      <c r="Z232" s="26"/>
      <c r="AA232" s="26"/>
      <c r="AB232" s="26"/>
      <c r="AC232" s="26"/>
    </row>
    <row r="233" spans="1:29"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18" t="s">
        <v>598</v>
      </c>
      <c r="X233" s="18"/>
      <c r="Y233" s="26"/>
      <c r="Z233" s="26"/>
      <c r="AA233" s="26"/>
      <c r="AB233" s="26"/>
      <c r="AC233" s="26"/>
    </row>
    <row r="234" spans="1:29"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18" t="s">
        <v>599</v>
      </c>
      <c r="X234" s="18"/>
      <c r="Y234" s="26"/>
      <c r="Z234" s="26"/>
      <c r="AA234" s="26"/>
      <c r="AB234" s="26"/>
      <c r="AC234" s="26"/>
    </row>
    <row r="235" spans="1:29"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18" t="s">
        <v>600</v>
      </c>
      <c r="X235" s="18"/>
      <c r="Y235" s="26"/>
      <c r="Z235" s="26"/>
      <c r="AA235" s="26"/>
      <c r="AB235" s="26"/>
      <c r="AC235" s="26"/>
    </row>
    <row r="236" spans="1:29"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18" t="s">
        <v>601</v>
      </c>
      <c r="X236" s="18"/>
      <c r="Y236" s="26"/>
      <c r="Z236" s="26"/>
      <c r="AA236" s="26"/>
      <c r="AB236" s="26"/>
      <c r="AC236" s="26"/>
    </row>
    <row r="237" spans="1:29"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18" t="s">
        <v>602</v>
      </c>
      <c r="X237" s="18"/>
      <c r="Y237" s="26"/>
      <c r="Z237" s="26"/>
      <c r="AA237" s="26"/>
      <c r="AB237" s="26"/>
      <c r="AC237" s="26"/>
    </row>
    <row r="238" spans="1:29"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18" t="s">
        <v>603</v>
      </c>
      <c r="X238" s="18"/>
      <c r="Y238" s="26"/>
      <c r="Z238" s="26"/>
      <c r="AA238" s="26"/>
      <c r="AB238" s="26"/>
      <c r="AC238" s="26"/>
    </row>
    <row r="239" spans="1:29"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18" t="s">
        <v>604</v>
      </c>
      <c r="X239" s="18"/>
      <c r="Y239" s="26"/>
      <c r="Z239" s="26"/>
      <c r="AA239" s="26"/>
      <c r="AB239" s="26"/>
      <c r="AC239" s="26"/>
    </row>
    <row r="240" spans="1:29"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18" t="s">
        <v>605</v>
      </c>
      <c r="X240" s="18"/>
      <c r="Y240" s="26"/>
      <c r="Z240" s="26"/>
      <c r="AA240" s="26"/>
      <c r="AB240" s="26"/>
      <c r="AC240" s="26"/>
    </row>
    <row r="241" spans="1:29"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18" t="s">
        <v>606</v>
      </c>
      <c r="X241" s="18"/>
      <c r="Y241" s="26"/>
      <c r="Z241" s="26"/>
      <c r="AA241" s="26"/>
      <c r="AB241" s="26"/>
      <c r="AC241" s="26"/>
    </row>
    <row r="242" spans="1:29"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18" t="s">
        <v>607</v>
      </c>
      <c r="X242" s="18"/>
      <c r="Y242" s="26"/>
      <c r="Z242" s="26"/>
      <c r="AA242" s="26"/>
      <c r="AB242" s="26"/>
      <c r="AC242" s="26"/>
    </row>
    <row r="243" spans="1:29"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18" t="s">
        <v>608</v>
      </c>
      <c r="X243" s="18"/>
      <c r="Y243" s="26"/>
      <c r="Z243" s="26"/>
      <c r="AA243" s="26"/>
      <c r="AB243" s="26"/>
      <c r="AC243" s="26"/>
    </row>
    <row r="244" spans="1:29"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18" t="s">
        <v>609</v>
      </c>
      <c r="X244" s="18"/>
      <c r="Y244" s="26"/>
      <c r="Z244" s="26"/>
      <c r="AA244" s="26"/>
      <c r="AB244" s="26"/>
      <c r="AC244" s="26"/>
    </row>
    <row r="245" spans="1:29"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18" t="s">
        <v>610</v>
      </c>
      <c r="X245" s="18"/>
      <c r="Y245" s="26"/>
      <c r="Z245" s="26"/>
      <c r="AA245" s="26"/>
      <c r="AB245" s="26"/>
      <c r="AC245" s="26"/>
    </row>
    <row r="246" spans="1:29"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18" t="s">
        <v>611</v>
      </c>
      <c r="X246" s="18"/>
      <c r="Y246" s="26"/>
      <c r="Z246" s="26"/>
      <c r="AA246" s="26"/>
      <c r="AB246" s="26"/>
      <c r="AC246" s="26"/>
    </row>
    <row r="247" spans="1:29"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18" t="s">
        <v>612</v>
      </c>
      <c r="X247" s="18"/>
      <c r="Y247" s="26"/>
      <c r="Z247" s="26"/>
      <c r="AA247" s="26"/>
      <c r="AB247" s="26"/>
      <c r="AC247" s="26"/>
    </row>
    <row r="248" spans="1:29"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18" t="s">
        <v>613</v>
      </c>
      <c r="X248" s="18"/>
      <c r="Y248" s="26"/>
      <c r="Z248" s="26"/>
      <c r="AA248" s="26"/>
      <c r="AB248" s="26"/>
      <c r="AC248" s="26"/>
    </row>
    <row r="249" spans="1:29"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18" t="s">
        <v>614</v>
      </c>
      <c r="X249" s="18"/>
      <c r="Y249" s="26"/>
      <c r="Z249" s="26"/>
      <c r="AA249" s="26"/>
      <c r="AB249" s="26"/>
      <c r="AC249" s="26"/>
    </row>
    <row r="250" spans="1:29"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18" t="s">
        <v>615</v>
      </c>
      <c r="X250" s="18"/>
      <c r="Y250" s="26"/>
      <c r="Z250" s="26"/>
      <c r="AA250" s="26"/>
      <c r="AB250" s="26"/>
      <c r="AC250" s="26"/>
    </row>
    <row r="251" spans="1:29"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18" t="s">
        <v>616</v>
      </c>
      <c r="X251" s="18"/>
      <c r="Y251" s="26"/>
      <c r="Z251" s="26"/>
      <c r="AA251" s="26"/>
      <c r="AB251" s="26"/>
      <c r="AC251" s="26"/>
    </row>
    <row r="252" spans="1:29"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18" t="s">
        <v>617</v>
      </c>
      <c r="X252" s="18"/>
      <c r="Y252" s="26"/>
      <c r="Z252" s="26"/>
      <c r="AA252" s="26"/>
      <c r="AB252" s="26"/>
      <c r="AC252" s="26"/>
    </row>
    <row r="253" spans="1:29"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18" t="s">
        <v>618</v>
      </c>
      <c r="X253" s="18"/>
      <c r="Y253" s="26"/>
      <c r="Z253" s="26"/>
      <c r="AA253" s="26"/>
      <c r="AB253" s="26"/>
      <c r="AC253" s="26"/>
    </row>
    <row r="254" spans="1:29"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18" t="s">
        <v>619</v>
      </c>
      <c r="X254" s="18"/>
      <c r="Y254" s="26"/>
      <c r="Z254" s="26"/>
      <c r="AA254" s="26"/>
      <c r="AB254" s="26"/>
      <c r="AC254" s="26"/>
    </row>
    <row r="255" spans="1:29"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18" t="s">
        <v>620</v>
      </c>
      <c r="X255" s="18"/>
      <c r="Y255" s="26"/>
      <c r="Z255" s="26"/>
      <c r="AA255" s="26"/>
      <c r="AB255" s="26"/>
      <c r="AC255" s="26"/>
    </row>
    <row r="256" spans="1:29"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18" t="s">
        <v>621</v>
      </c>
      <c r="X256" s="18"/>
      <c r="Y256" s="26"/>
      <c r="Z256" s="26"/>
      <c r="AA256" s="26"/>
      <c r="AB256" s="26"/>
      <c r="AC256" s="26"/>
    </row>
    <row r="257" spans="1:29"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18" t="s">
        <v>622</v>
      </c>
      <c r="X257" s="18"/>
      <c r="Y257" s="26"/>
      <c r="Z257" s="26"/>
      <c r="AA257" s="26"/>
      <c r="AB257" s="26"/>
      <c r="AC257" s="26"/>
    </row>
    <row r="258" spans="1:29"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18" t="s">
        <v>623</v>
      </c>
      <c r="X258" s="18"/>
      <c r="Y258" s="26"/>
      <c r="Z258" s="26"/>
      <c r="AA258" s="26"/>
      <c r="AB258" s="26"/>
      <c r="AC258" s="26"/>
    </row>
    <row r="259" spans="1:29"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18" t="s">
        <v>624</v>
      </c>
      <c r="X259" s="18"/>
      <c r="Y259" s="26"/>
      <c r="Z259" s="26"/>
      <c r="AA259" s="26"/>
      <c r="AB259" s="26"/>
      <c r="AC259" s="26"/>
    </row>
    <row r="260" spans="1:29"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18" t="s">
        <v>625</v>
      </c>
      <c r="X260" s="18"/>
      <c r="Y260" s="26"/>
      <c r="Z260" s="26"/>
      <c r="AA260" s="26"/>
      <c r="AB260" s="26"/>
      <c r="AC260" s="26"/>
    </row>
    <row r="261" spans="1:29"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18" t="s">
        <v>626</v>
      </c>
      <c r="X261" s="18"/>
      <c r="Y261" s="26"/>
      <c r="Z261" s="26"/>
      <c r="AA261" s="26"/>
      <c r="AB261" s="26"/>
      <c r="AC261" s="26"/>
    </row>
    <row r="262" spans="1:29"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18" t="s">
        <v>627</v>
      </c>
      <c r="X262" s="18"/>
      <c r="Y262" s="26"/>
      <c r="Z262" s="26"/>
      <c r="AA262" s="26"/>
      <c r="AB262" s="26"/>
      <c r="AC262" s="26"/>
    </row>
    <row r="263" spans="1:29"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18" t="s">
        <v>628</v>
      </c>
      <c r="X263" s="18"/>
      <c r="Y263" s="26"/>
      <c r="Z263" s="26"/>
      <c r="AA263" s="26"/>
      <c r="AB263" s="26"/>
      <c r="AC263" s="26"/>
    </row>
    <row r="264" spans="1:29"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18" t="s">
        <v>629</v>
      </c>
      <c r="X264" s="18"/>
      <c r="Y264" s="26"/>
      <c r="Z264" s="26"/>
      <c r="AA264" s="26"/>
      <c r="AB264" s="26"/>
      <c r="AC264" s="26"/>
    </row>
    <row r="265" spans="1:29"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18" t="s">
        <v>630</v>
      </c>
      <c r="X265" s="18"/>
      <c r="Y265" s="26"/>
      <c r="Z265" s="26"/>
      <c r="AA265" s="26"/>
      <c r="AB265" s="26"/>
      <c r="AC265" s="26"/>
    </row>
    <row r="266" spans="1:29"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18" t="s">
        <v>631</v>
      </c>
      <c r="X266" s="18"/>
      <c r="Y266" s="26"/>
      <c r="Z266" s="26"/>
      <c r="AA266" s="26"/>
      <c r="AB266" s="26"/>
      <c r="AC266" s="26"/>
    </row>
    <row r="267" spans="1:29"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18" t="s">
        <v>632</v>
      </c>
      <c r="X267" s="18"/>
      <c r="Y267" s="26"/>
      <c r="Z267" s="26"/>
      <c r="AA267" s="26"/>
      <c r="AB267" s="26"/>
      <c r="AC267" s="26"/>
    </row>
    <row r="268" spans="1:29"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18" t="s">
        <v>633</v>
      </c>
      <c r="X268" s="18"/>
      <c r="Y268" s="26"/>
      <c r="Z268" s="26"/>
      <c r="AA268" s="26"/>
      <c r="AB268" s="26"/>
      <c r="AC268" s="26"/>
    </row>
    <row r="269" spans="1:29"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18" t="s">
        <v>634</v>
      </c>
      <c r="X269" s="18"/>
      <c r="Y269" s="26"/>
      <c r="Z269" s="26"/>
      <c r="AA269" s="26"/>
      <c r="AB269" s="26"/>
      <c r="AC269" s="26"/>
    </row>
    <row r="270" spans="1:29"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18" t="s">
        <v>635</v>
      </c>
      <c r="X270" s="18"/>
      <c r="Y270" s="26"/>
      <c r="Z270" s="26"/>
      <c r="AA270" s="26"/>
      <c r="AB270" s="26"/>
      <c r="AC270" s="26"/>
    </row>
    <row r="271" spans="1:29"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18" t="s">
        <v>636</v>
      </c>
      <c r="X271" s="18"/>
      <c r="Y271" s="26"/>
      <c r="Z271" s="26"/>
      <c r="AA271" s="26"/>
      <c r="AB271" s="26"/>
      <c r="AC271" s="26"/>
    </row>
    <row r="272" spans="1:29"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18" t="s">
        <v>637</v>
      </c>
      <c r="X272" s="18"/>
      <c r="Y272" s="26"/>
      <c r="Z272" s="26"/>
      <c r="AA272" s="26"/>
      <c r="AB272" s="26"/>
      <c r="AC272" s="26"/>
    </row>
    <row r="273" spans="1:29"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18" t="s">
        <v>638</v>
      </c>
      <c r="X273" s="18"/>
      <c r="Y273" s="26"/>
      <c r="Z273" s="26"/>
      <c r="AA273" s="26"/>
      <c r="AB273" s="26"/>
      <c r="AC273" s="26"/>
    </row>
    <row r="274" spans="1:29"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18" t="s">
        <v>639</v>
      </c>
      <c r="X274" s="18"/>
      <c r="Y274" s="26"/>
      <c r="Z274" s="26"/>
      <c r="AA274" s="26"/>
      <c r="AB274" s="26"/>
      <c r="AC274" s="26"/>
    </row>
    <row r="275" spans="1:29"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18" t="s">
        <v>640</v>
      </c>
      <c r="X275" s="18"/>
      <c r="Y275" s="26"/>
      <c r="Z275" s="26"/>
      <c r="AA275" s="26"/>
      <c r="AB275" s="26"/>
      <c r="AC275" s="26"/>
    </row>
    <row r="276" spans="1:29"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18" t="s">
        <v>641</v>
      </c>
      <c r="X276" s="18"/>
      <c r="Y276" s="26"/>
      <c r="Z276" s="26"/>
      <c r="AA276" s="26"/>
      <c r="AB276" s="26"/>
      <c r="AC276" s="26"/>
    </row>
    <row r="277" spans="1:29"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18" t="s">
        <v>642</v>
      </c>
      <c r="X277" s="18"/>
      <c r="Y277" s="26"/>
      <c r="Z277" s="26"/>
      <c r="AA277" s="26"/>
      <c r="AB277" s="26"/>
      <c r="AC277" s="26"/>
    </row>
    <row r="278" spans="1:29"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18" t="s">
        <v>643</v>
      </c>
      <c r="X278" s="18"/>
      <c r="Y278" s="26"/>
      <c r="Z278" s="26"/>
      <c r="AA278" s="26"/>
      <c r="AB278" s="26"/>
      <c r="AC278" s="26"/>
    </row>
    <row r="279" spans="1:29"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18" t="s">
        <v>644</v>
      </c>
      <c r="X279" s="18"/>
      <c r="Y279" s="26"/>
      <c r="Z279" s="26"/>
      <c r="AA279" s="26"/>
      <c r="AB279" s="26"/>
      <c r="AC279" s="26"/>
    </row>
    <row r="280" spans="1:29"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18" t="s">
        <v>645</v>
      </c>
      <c r="X280" s="18"/>
      <c r="Y280" s="26"/>
      <c r="Z280" s="26"/>
      <c r="AA280" s="26"/>
      <c r="AB280" s="26"/>
      <c r="AC280" s="26"/>
    </row>
    <row r="281" spans="1:29"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18" t="s">
        <v>646</v>
      </c>
      <c r="X281" s="18"/>
      <c r="Y281" s="26"/>
      <c r="Z281" s="26"/>
      <c r="AA281" s="26"/>
      <c r="AB281" s="26"/>
      <c r="AC281" s="26"/>
    </row>
    <row r="282" spans="1:29"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18" t="s">
        <v>647</v>
      </c>
      <c r="X282" s="18"/>
      <c r="Y282" s="26"/>
      <c r="Z282" s="26"/>
      <c r="AA282" s="26"/>
      <c r="AB282" s="26"/>
      <c r="AC282" s="26"/>
    </row>
    <row r="283" spans="1:29"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18" t="s">
        <v>648</v>
      </c>
      <c r="X283" s="18"/>
      <c r="Y283" s="26"/>
      <c r="Z283" s="26"/>
      <c r="AA283" s="26"/>
      <c r="AB283" s="26"/>
      <c r="AC283" s="26"/>
    </row>
    <row r="284" spans="1:29"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18" t="s">
        <v>649</v>
      </c>
      <c r="X284" s="18"/>
      <c r="Y284" s="26"/>
      <c r="Z284" s="26"/>
      <c r="AA284" s="26"/>
      <c r="AB284" s="26"/>
      <c r="AC284" s="26"/>
    </row>
    <row r="285" spans="1:29"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18" t="s">
        <v>650</v>
      </c>
      <c r="X285" s="18"/>
      <c r="Y285" s="26"/>
      <c r="Z285" s="26"/>
      <c r="AA285" s="26"/>
      <c r="AB285" s="26"/>
      <c r="AC285" s="26"/>
    </row>
    <row r="286" spans="1:29"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18" t="s">
        <v>651</v>
      </c>
      <c r="X286" s="18"/>
      <c r="Y286" s="26"/>
      <c r="Z286" s="26"/>
      <c r="AA286" s="26"/>
      <c r="AB286" s="26"/>
      <c r="AC286" s="26"/>
    </row>
    <row r="287" spans="1:29"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18" t="s">
        <v>652</v>
      </c>
      <c r="X287" s="18"/>
      <c r="Y287" s="26"/>
      <c r="Z287" s="26"/>
      <c r="AA287" s="26"/>
      <c r="AB287" s="26"/>
      <c r="AC287" s="26"/>
    </row>
    <row r="288" spans="1:29"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18" t="s">
        <v>653</v>
      </c>
      <c r="X288" s="18"/>
      <c r="Y288" s="26"/>
      <c r="Z288" s="26"/>
      <c r="AA288" s="26"/>
      <c r="AB288" s="26"/>
      <c r="AC288" s="26"/>
    </row>
    <row r="289" spans="1:29"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18" t="s">
        <v>654</v>
      </c>
      <c r="X289" s="18"/>
      <c r="Y289" s="26"/>
      <c r="Z289" s="26"/>
      <c r="AA289" s="26"/>
      <c r="AB289" s="26"/>
      <c r="AC289" s="26"/>
    </row>
    <row r="290" spans="1:29"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18" t="s">
        <v>655</v>
      </c>
      <c r="X290" s="18"/>
      <c r="Y290" s="26"/>
      <c r="Z290" s="26"/>
      <c r="AA290" s="26"/>
      <c r="AB290" s="26"/>
      <c r="AC290" s="26"/>
    </row>
    <row r="291" spans="1:29"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18" t="s">
        <v>656</v>
      </c>
      <c r="X291" s="18"/>
      <c r="Y291" s="26"/>
      <c r="Z291" s="26"/>
      <c r="AA291" s="26"/>
      <c r="AB291" s="26"/>
      <c r="AC291" s="26"/>
    </row>
    <row r="292" spans="1:29"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18" t="s">
        <v>657</v>
      </c>
      <c r="X292" s="18"/>
      <c r="Y292" s="26"/>
      <c r="Z292" s="26"/>
      <c r="AA292" s="26"/>
      <c r="AB292" s="26"/>
      <c r="AC292" s="26"/>
    </row>
    <row r="293" spans="1:29"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18" t="s">
        <v>658</v>
      </c>
      <c r="X293" s="18"/>
      <c r="Y293" s="26"/>
      <c r="Z293" s="26"/>
      <c r="AA293" s="26"/>
      <c r="AB293" s="26"/>
      <c r="AC293" s="26"/>
    </row>
    <row r="294" spans="1:29"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18" t="s">
        <v>659</v>
      </c>
      <c r="X294" s="18"/>
      <c r="Y294" s="26"/>
      <c r="Z294" s="26"/>
      <c r="AA294" s="26"/>
      <c r="AB294" s="26"/>
      <c r="AC294" s="26"/>
    </row>
    <row r="295" spans="1:29"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18" t="s">
        <v>660</v>
      </c>
      <c r="X295" s="18"/>
      <c r="Y295" s="26"/>
      <c r="Z295" s="26"/>
      <c r="AA295" s="26"/>
      <c r="AB295" s="26"/>
      <c r="AC295" s="26"/>
    </row>
    <row r="296" spans="1:29"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18" t="s">
        <v>661</v>
      </c>
      <c r="X296" s="18"/>
      <c r="Y296" s="26"/>
      <c r="Z296" s="26"/>
      <c r="AA296" s="26"/>
      <c r="AB296" s="26"/>
      <c r="AC296" s="26"/>
    </row>
    <row r="297" spans="1:29"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18" t="s">
        <v>662</v>
      </c>
      <c r="X297" s="18"/>
      <c r="Y297" s="26"/>
      <c r="Z297" s="26"/>
      <c r="AA297" s="26"/>
      <c r="AB297" s="26"/>
      <c r="AC297" s="26"/>
    </row>
    <row r="298" spans="1:29"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18" t="s">
        <v>663</v>
      </c>
      <c r="X298" s="18"/>
      <c r="Y298" s="26"/>
      <c r="Z298" s="26"/>
      <c r="AA298" s="26"/>
      <c r="AB298" s="26"/>
      <c r="AC298" s="26"/>
    </row>
    <row r="299" spans="1:29"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18" t="s">
        <v>664</v>
      </c>
      <c r="X299" s="18"/>
      <c r="Y299" s="26"/>
      <c r="Z299" s="26"/>
      <c r="AA299" s="26"/>
      <c r="AB299" s="26"/>
      <c r="AC299" s="26"/>
    </row>
    <row r="300" spans="1:29"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18" t="s">
        <v>665</v>
      </c>
      <c r="X300" s="18"/>
      <c r="Y300" s="26"/>
      <c r="Z300" s="26"/>
      <c r="AA300" s="26"/>
      <c r="AB300" s="26"/>
      <c r="AC300" s="26"/>
    </row>
    <row r="301" spans="1:29"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18" t="s">
        <v>666</v>
      </c>
      <c r="X301" s="18"/>
      <c r="Y301" s="26"/>
      <c r="Z301" s="26"/>
      <c r="AA301" s="26"/>
      <c r="AB301" s="26"/>
      <c r="AC301" s="26"/>
    </row>
    <row r="302" spans="1:29"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18" t="s">
        <v>667</v>
      </c>
      <c r="X302" s="18"/>
      <c r="Y302" s="26"/>
      <c r="Z302" s="26"/>
      <c r="AA302" s="26"/>
      <c r="AB302" s="26"/>
      <c r="AC302" s="26"/>
    </row>
    <row r="303" spans="1:29"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18" t="s">
        <v>668</v>
      </c>
      <c r="X303" s="18"/>
      <c r="Y303" s="26"/>
      <c r="Z303" s="26"/>
      <c r="AA303" s="26"/>
      <c r="AB303" s="26"/>
      <c r="AC303" s="26"/>
    </row>
    <row r="304" spans="1:29"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18" t="s">
        <v>669</v>
      </c>
      <c r="X304" s="18"/>
      <c r="Y304" s="26"/>
      <c r="Z304" s="26"/>
      <c r="AA304" s="26"/>
      <c r="AB304" s="26"/>
      <c r="AC304" s="26"/>
    </row>
    <row r="305" spans="1:29"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18" t="s">
        <v>670</v>
      </c>
      <c r="X305" s="18"/>
      <c r="Y305" s="26"/>
      <c r="Z305" s="26"/>
      <c r="AA305" s="26"/>
      <c r="AB305" s="26"/>
      <c r="AC305" s="26"/>
    </row>
    <row r="306" spans="1:29"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18" t="s">
        <v>671</v>
      </c>
      <c r="X306" s="18"/>
      <c r="Y306" s="26"/>
      <c r="Z306" s="26"/>
      <c r="AA306" s="26"/>
      <c r="AB306" s="26"/>
      <c r="AC306" s="26"/>
    </row>
    <row r="307" spans="1:29"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18" t="s">
        <v>672</v>
      </c>
      <c r="X307" s="18"/>
      <c r="Y307" s="26"/>
      <c r="Z307" s="26"/>
      <c r="AA307" s="26"/>
      <c r="AB307" s="26"/>
      <c r="AC307" s="26"/>
    </row>
    <row r="308" spans="1:29"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18" t="s">
        <v>673</v>
      </c>
      <c r="X308" s="18"/>
      <c r="Y308" s="26"/>
      <c r="Z308" s="26"/>
      <c r="AA308" s="26"/>
      <c r="AB308" s="26"/>
      <c r="AC308" s="26"/>
    </row>
    <row r="309" spans="1:29"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18" t="s">
        <v>674</v>
      </c>
      <c r="X309" s="18"/>
      <c r="Y309" s="26"/>
      <c r="Z309" s="26"/>
      <c r="AA309" s="26"/>
      <c r="AB309" s="26"/>
      <c r="AC309" s="26"/>
    </row>
    <row r="310" spans="1:29"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18" t="s">
        <v>675</v>
      </c>
      <c r="X310" s="18"/>
      <c r="Y310" s="26"/>
      <c r="Z310" s="26"/>
      <c r="AA310" s="26"/>
      <c r="AB310" s="26"/>
      <c r="AC310" s="26"/>
    </row>
    <row r="311" spans="1:29"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18" t="s">
        <v>676</v>
      </c>
      <c r="X311" s="18"/>
      <c r="Y311" s="26"/>
      <c r="Z311" s="26"/>
      <c r="AA311" s="26"/>
      <c r="AB311" s="26"/>
      <c r="AC311" s="26"/>
    </row>
    <row r="312" spans="1:29"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18" t="s">
        <v>677</v>
      </c>
      <c r="X312" s="18"/>
      <c r="Y312" s="26"/>
      <c r="Z312" s="26"/>
      <c r="AA312" s="26"/>
      <c r="AB312" s="26"/>
      <c r="AC312" s="26"/>
    </row>
    <row r="313" spans="1:29"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18" t="s">
        <v>678</v>
      </c>
      <c r="X313" s="18"/>
      <c r="Y313" s="26"/>
      <c r="Z313" s="26"/>
      <c r="AA313" s="26"/>
      <c r="AB313" s="26"/>
      <c r="AC313" s="26"/>
    </row>
    <row r="314" spans="1:29"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18" t="s">
        <v>679</v>
      </c>
      <c r="X314" s="18"/>
      <c r="Y314" s="26"/>
      <c r="Z314" s="26"/>
      <c r="AA314" s="26"/>
      <c r="AB314" s="26"/>
      <c r="AC314" s="26"/>
    </row>
    <row r="315" spans="1:29"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18" t="s">
        <v>680</v>
      </c>
      <c r="X315" s="18"/>
      <c r="Y315" s="26"/>
      <c r="Z315" s="26"/>
      <c r="AA315" s="26"/>
      <c r="AB315" s="26"/>
      <c r="AC315" s="26"/>
    </row>
    <row r="316" spans="1:29"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18" t="s">
        <v>681</v>
      </c>
      <c r="X316" s="18"/>
      <c r="Y316" s="26"/>
      <c r="Z316" s="26"/>
      <c r="AA316" s="26"/>
      <c r="AB316" s="26"/>
      <c r="AC316" s="26"/>
    </row>
    <row r="317" spans="1:29"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18" t="s">
        <v>682</v>
      </c>
      <c r="X317" s="18"/>
      <c r="Y317" s="26"/>
      <c r="Z317" s="26"/>
      <c r="AA317" s="26"/>
      <c r="AB317" s="26"/>
      <c r="AC317" s="26"/>
    </row>
    <row r="318" spans="1:29"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18" t="s">
        <v>683</v>
      </c>
      <c r="X318" s="18"/>
      <c r="Y318" s="26"/>
      <c r="Z318" s="26"/>
      <c r="AA318" s="26"/>
      <c r="AB318" s="26"/>
      <c r="AC318" s="26"/>
    </row>
    <row r="319" spans="1:29"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18" t="s">
        <v>684</v>
      </c>
      <c r="X319" s="18"/>
      <c r="Y319" s="26"/>
      <c r="Z319" s="26"/>
      <c r="AA319" s="26"/>
      <c r="AB319" s="26"/>
      <c r="AC319" s="26"/>
    </row>
    <row r="320" spans="1:29"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18" t="s">
        <v>685</v>
      </c>
      <c r="X320" s="18"/>
      <c r="Y320" s="26"/>
      <c r="Z320" s="26"/>
      <c r="AA320" s="26"/>
      <c r="AB320" s="26"/>
      <c r="AC320" s="26"/>
    </row>
    <row r="321" spans="1:29"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18" t="s">
        <v>686</v>
      </c>
      <c r="X321" s="18"/>
      <c r="Y321" s="26"/>
      <c r="Z321" s="26"/>
      <c r="AA321" s="26"/>
      <c r="AB321" s="26"/>
      <c r="AC321" s="26"/>
    </row>
    <row r="322" spans="1:29"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18" t="s">
        <v>687</v>
      </c>
      <c r="X322" s="18"/>
      <c r="Y322" s="26"/>
      <c r="Z322" s="26"/>
      <c r="AA322" s="26"/>
      <c r="AB322" s="26"/>
      <c r="AC322" s="26"/>
    </row>
    <row r="323" spans="1:29"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18" t="s">
        <v>688</v>
      </c>
      <c r="X323" s="18"/>
      <c r="Y323" s="26"/>
      <c r="Z323" s="26"/>
      <c r="AA323" s="26"/>
      <c r="AB323" s="26"/>
      <c r="AC323" s="26"/>
    </row>
    <row r="324" spans="1:29"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18" t="s">
        <v>689</v>
      </c>
      <c r="X324" s="18"/>
      <c r="Y324" s="26"/>
      <c r="Z324" s="26"/>
      <c r="AA324" s="26"/>
      <c r="AB324" s="26"/>
      <c r="AC324" s="26"/>
    </row>
    <row r="325" spans="1:29"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18" t="s">
        <v>690</v>
      </c>
      <c r="X325" s="18"/>
      <c r="Y325" s="26"/>
      <c r="Z325" s="26"/>
      <c r="AA325" s="26"/>
      <c r="AB325" s="26"/>
      <c r="AC325" s="26"/>
    </row>
    <row r="326" spans="1:29"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18" t="s">
        <v>691</v>
      </c>
      <c r="X326" s="18"/>
      <c r="Y326" s="26"/>
      <c r="Z326" s="26"/>
      <c r="AA326" s="26"/>
      <c r="AB326" s="26"/>
      <c r="AC326" s="26"/>
    </row>
    <row r="327" spans="1:29"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18" t="s">
        <v>692</v>
      </c>
      <c r="X327" s="18"/>
      <c r="Y327" s="26"/>
      <c r="Z327" s="26"/>
      <c r="AA327" s="26"/>
      <c r="AB327" s="26"/>
      <c r="AC327" s="26"/>
    </row>
    <row r="328" spans="1:29"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18" t="s">
        <v>693</v>
      </c>
      <c r="X328" s="18"/>
      <c r="Y328" s="26"/>
      <c r="Z328" s="26"/>
      <c r="AA328" s="26"/>
      <c r="AB328" s="26"/>
      <c r="AC328" s="26"/>
    </row>
    <row r="329" spans="1:29"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18" t="s">
        <v>694</v>
      </c>
      <c r="X329" s="18"/>
      <c r="Y329" s="26"/>
      <c r="Z329" s="26"/>
      <c r="AA329" s="26"/>
      <c r="AB329" s="26"/>
      <c r="AC329" s="26"/>
    </row>
    <row r="330" spans="1:29"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18" t="s">
        <v>695</v>
      </c>
      <c r="X330" s="18"/>
      <c r="Y330" s="26"/>
      <c r="Z330" s="26"/>
      <c r="AA330" s="26"/>
      <c r="AB330" s="26"/>
      <c r="AC330" s="26"/>
    </row>
    <row r="331" spans="1:29"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18" t="s">
        <v>696</v>
      </c>
      <c r="X331" s="18"/>
      <c r="Y331" s="26"/>
      <c r="Z331" s="26"/>
      <c r="AA331" s="26"/>
      <c r="AB331" s="26"/>
      <c r="AC331" s="26"/>
    </row>
    <row r="332" spans="1:29"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18" t="s">
        <v>697</v>
      </c>
      <c r="X332" s="18"/>
      <c r="Y332" s="26"/>
      <c r="Z332" s="26"/>
      <c r="AA332" s="26"/>
      <c r="AB332" s="26"/>
      <c r="AC332" s="26"/>
    </row>
    <row r="333" spans="1:29"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18" t="s">
        <v>698</v>
      </c>
      <c r="X333" s="18"/>
      <c r="Y333" s="26"/>
      <c r="Z333" s="26"/>
      <c r="AA333" s="26"/>
      <c r="AB333" s="26"/>
      <c r="AC333" s="26"/>
    </row>
    <row r="334" spans="1:29"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18" t="s">
        <v>699</v>
      </c>
      <c r="X334" s="18"/>
      <c r="Y334" s="26"/>
      <c r="Z334" s="26"/>
      <c r="AA334" s="26"/>
      <c r="AB334" s="26"/>
      <c r="AC334" s="26"/>
    </row>
    <row r="335" spans="1:29"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18" t="s">
        <v>700</v>
      </c>
      <c r="X335" s="18"/>
      <c r="Y335" s="26"/>
      <c r="Z335" s="26"/>
      <c r="AA335" s="26"/>
      <c r="AB335" s="26"/>
      <c r="AC335" s="26"/>
    </row>
    <row r="336" spans="1:29"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18" t="s">
        <v>701</v>
      </c>
      <c r="X336" s="18"/>
      <c r="Y336" s="26"/>
      <c r="Z336" s="26"/>
      <c r="AA336" s="26"/>
      <c r="AB336" s="26"/>
      <c r="AC336" s="26"/>
    </row>
    <row r="337" spans="1:29"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18" t="s">
        <v>702</v>
      </c>
      <c r="X337" s="18"/>
      <c r="Y337" s="26"/>
      <c r="Z337" s="26"/>
      <c r="AA337" s="26"/>
      <c r="AB337" s="26"/>
      <c r="AC337" s="26"/>
    </row>
    <row r="338" spans="1:29"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18" t="s">
        <v>703</v>
      </c>
      <c r="X338" s="18"/>
      <c r="Y338" s="26"/>
      <c r="Z338" s="26"/>
      <c r="AA338" s="26"/>
      <c r="AB338" s="26"/>
      <c r="AC338" s="26"/>
    </row>
    <row r="339" spans="1:29"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18" t="s">
        <v>704</v>
      </c>
      <c r="X339" s="18"/>
      <c r="Y339" s="26"/>
      <c r="Z339" s="26"/>
      <c r="AA339" s="26"/>
      <c r="AB339" s="26"/>
      <c r="AC339" s="26"/>
    </row>
    <row r="340" spans="1:29"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18" t="s">
        <v>705</v>
      </c>
      <c r="X340" s="18"/>
      <c r="Y340" s="26"/>
      <c r="Z340" s="26"/>
      <c r="AA340" s="26"/>
      <c r="AB340" s="26"/>
      <c r="AC340" s="26"/>
    </row>
    <row r="341" spans="1:29"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18" t="s">
        <v>706</v>
      </c>
      <c r="X341" s="18"/>
      <c r="Y341" s="26"/>
      <c r="Z341" s="26"/>
      <c r="AA341" s="26"/>
      <c r="AB341" s="26"/>
      <c r="AC341" s="26"/>
    </row>
    <row r="342" spans="1:29"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18" t="s">
        <v>707</v>
      </c>
      <c r="X342" s="18"/>
      <c r="Y342" s="26"/>
      <c r="Z342" s="26"/>
      <c r="AA342" s="26"/>
      <c r="AB342" s="26"/>
      <c r="AC342" s="26"/>
    </row>
    <row r="343" spans="1:29"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18" t="s">
        <v>708</v>
      </c>
      <c r="X343" s="18"/>
      <c r="Y343" s="26"/>
      <c r="Z343" s="26"/>
      <c r="AA343" s="26"/>
      <c r="AB343" s="26"/>
      <c r="AC343" s="26"/>
    </row>
    <row r="344" spans="1:29"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18" t="s">
        <v>709</v>
      </c>
      <c r="X344" s="18"/>
      <c r="Y344" s="26"/>
      <c r="Z344" s="26"/>
      <c r="AA344" s="26"/>
      <c r="AB344" s="26"/>
      <c r="AC344" s="26"/>
    </row>
    <row r="345" spans="1:29"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18" t="s">
        <v>710</v>
      </c>
      <c r="X345" s="18"/>
      <c r="Y345" s="26"/>
      <c r="Z345" s="26"/>
      <c r="AA345" s="26"/>
      <c r="AB345" s="26"/>
      <c r="AC345" s="26"/>
    </row>
    <row r="346" spans="1:29"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18" t="s">
        <v>711</v>
      </c>
      <c r="X346" s="18"/>
      <c r="Y346" s="26"/>
      <c r="Z346" s="26"/>
      <c r="AA346" s="26"/>
      <c r="AB346" s="26"/>
      <c r="AC346" s="26"/>
    </row>
    <row r="347" spans="1:29"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18" t="s">
        <v>712</v>
      </c>
      <c r="X347" s="18"/>
      <c r="Y347" s="26"/>
      <c r="Z347" s="26"/>
      <c r="AA347" s="26"/>
      <c r="AB347" s="26"/>
      <c r="AC347" s="26"/>
    </row>
    <row r="348" spans="1:29"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18" t="s">
        <v>713</v>
      </c>
      <c r="X348" s="18"/>
      <c r="Y348" s="26"/>
      <c r="Z348" s="26"/>
      <c r="AA348" s="26"/>
      <c r="AB348" s="26"/>
      <c r="AC348" s="26"/>
    </row>
    <row r="349" spans="1:29"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18" t="s">
        <v>714</v>
      </c>
      <c r="X349" s="18"/>
      <c r="Y349" s="26"/>
      <c r="Z349" s="26"/>
      <c r="AA349" s="26"/>
      <c r="AB349" s="26"/>
      <c r="AC349" s="26"/>
    </row>
    <row r="350" spans="1:29"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18" t="s">
        <v>715</v>
      </c>
      <c r="X350" s="18"/>
      <c r="Y350" s="26"/>
      <c r="Z350" s="26"/>
      <c r="AA350" s="26"/>
      <c r="AB350" s="26"/>
      <c r="AC350" s="26"/>
    </row>
    <row r="351" spans="1:29"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18" t="s">
        <v>716</v>
      </c>
      <c r="X351" s="18"/>
      <c r="Y351" s="26"/>
      <c r="Z351" s="26"/>
      <c r="AA351" s="26"/>
      <c r="AB351" s="26"/>
      <c r="AC351" s="26"/>
    </row>
    <row r="352" spans="1:29"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18" t="s">
        <v>717</v>
      </c>
      <c r="X352" s="18"/>
      <c r="Y352" s="26"/>
      <c r="Z352" s="26"/>
      <c r="AA352" s="26"/>
      <c r="AB352" s="26"/>
      <c r="AC352" s="26"/>
    </row>
    <row r="353" spans="1:29"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18" t="s">
        <v>718</v>
      </c>
      <c r="X353" s="18"/>
      <c r="Y353" s="26"/>
      <c r="Z353" s="26"/>
      <c r="AA353" s="26"/>
      <c r="AB353" s="26"/>
      <c r="AC353" s="26"/>
    </row>
    <row r="354" spans="1:29"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18" t="s">
        <v>719</v>
      </c>
      <c r="X354" s="18"/>
      <c r="Y354" s="26"/>
      <c r="Z354" s="26"/>
      <c r="AA354" s="26"/>
      <c r="AB354" s="26"/>
      <c r="AC354" s="26"/>
    </row>
    <row r="355" spans="1:29"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18" t="s">
        <v>720</v>
      </c>
      <c r="X355" s="18"/>
      <c r="Y355" s="26"/>
      <c r="Z355" s="26"/>
      <c r="AA355" s="26"/>
      <c r="AB355" s="26"/>
      <c r="AC355" s="26"/>
    </row>
    <row r="356" spans="1:29"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18" t="s">
        <v>721</v>
      </c>
      <c r="X356" s="18"/>
      <c r="Y356" s="26"/>
      <c r="Z356" s="26"/>
      <c r="AA356" s="26"/>
      <c r="AB356" s="26"/>
      <c r="AC356" s="26"/>
    </row>
    <row r="357" spans="1:29"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18" t="s">
        <v>722</v>
      </c>
      <c r="X357" s="18"/>
      <c r="Y357" s="26"/>
      <c r="Z357" s="26"/>
      <c r="AA357" s="26"/>
      <c r="AB357" s="26"/>
      <c r="AC357" s="26"/>
    </row>
    <row r="358" spans="1:29"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18" t="s">
        <v>723</v>
      </c>
      <c r="X358" s="18"/>
      <c r="Y358" s="26"/>
      <c r="Z358" s="26"/>
      <c r="AA358" s="26"/>
      <c r="AB358" s="26"/>
      <c r="AC358" s="26"/>
    </row>
    <row r="359" spans="1:29"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18" t="s">
        <v>724</v>
      </c>
      <c r="X359" s="18"/>
      <c r="Y359" s="26"/>
      <c r="Z359" s="26"/>
      <c r="AA359" s="26"/>
      <c r="AB359" s="26"/>
      <c r="AC359" s="26"/>
    </row>
    <row r="360" spans="1:29"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18" t="s">
        <v>725</v>
      </c>
      <c r="X360" s="18"/>
      <c r="Y360" s="26"/>
      <c r="Z360" s="26"/>
      <c r="AA360" s="26"/>
      <c r="AB360" s="26"/>
      <c r="AC360" s="26"/>
    </row>
    <row r="361" spans="1:29"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18" t="s">
        <v>726</v>
      </c>
      <c r="X361" s="18"/>
      <c r="Y361" s="26"/>
      <c r="Z361" s="26"/>
      <c r="AA361" s="26"/>
      <c r="AB361" s="26"/>
      <c r="AC361" s="26"/>
    </row>
    <row r="362" spans="1:29"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18" t="s">
        <v>727</v>
      </c>
      <c r="X362" s="18"/>
      <c r="Y362" s="26"/>
      <c r="Z362" s="26"/>
      <c r="AA362" s="26"/>
      <c r="AB362" s="26"/>
      <c r="AC362" s="26"/>
    </row>
    <row r="363" spans="1:29"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18" t="s">
        <v>728</v>
      </c>
      <c r="X363" s="18"/>
      <c r="Y363" s="26"/>
      <c r="Z363" s="26"/>
      <c r="AA363" s="26"/>
      <c r="AB363" s="26"/>
      <c r="AC363" s="26"/>
    </row>
    <row r="364" spans="1:29"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18" t="s">
        <v>729</v>
      </c>
      <c r="X364" s="18"/>
      <c r="Y364" s="26"/>
      <c r="Z364" s="26"/>
      <c r="AA364" s="26"/>
      <c r="AB364" s="26"/>
      <c r="AC364" s="26"/>
    </row>
    <row r="365" spans="1:29"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18" t="s">
        <v>730</v>
      </c>
      <c r="X365" s="18"/>
      <c r="Y365" s="26"/>
      <c r="Z365" s="26"/>
      <c r="AA365" s="26"/>
      <c r="AB365" s="26"/>
      <c r="AC365" s="26"/>
    </row>
    <row r="366" spans="1:29"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18" t="s">
        <v>731</v>
      </c>
      <c r="X366" s="18"/>
      <c r="Y366" s="26"/>
      <c r="Z366" s="26"/>
      <c r="AA366" s="26"/>
      <c r="AB366" s="26"/>
      <c r="AC366" s="26"/>
    </row>
    <row r="367" spans="1:29"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18" t="s">
        <v>732</v>
      </c>
      <c r="X367" s="18"/>
      <c r="Y367" s="26"/>
      <c r="Z367" s="26"/>
      <c r="AA367" s="26"/>
      <c r="AB367" s="26"/>
      <c r="AC367" s="26"/>
    </row>
    <row r="368" spans="1:29"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18" t="s">
        <v>733</v>
      </c>
      <c r="X368" s="18"/>
      <c r="Y368" s="26"/>
      <c r="Z368" s="26"/>
      <c r="AA368" s="26"/>
      <c r="AB368" s="26"/>
      <c r="AC368" s="26"/>
    </row>
    <row r="369" spans="1:29"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18" t="s">
        <v>734</v>
      </c>
      <c r="X369" s="18"/>
      <c r="Y369" s="26"/>
      <c r="Z369" s="26"/>
      <c r="AA369" s="26"/>
      <c r="AB369" s="26"/>
      <c r="AC369" s="26"/>
    </row>
    <row r="370" spans="1:29"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18" t="s">
        <v>735</v>
      </c>
      <c r="X370" s="18"/>
      <c r="Y370" s="26"/>
      <c r="Z370" s="26"/>
      <c r="AA370" s="26"/>
      <c r="AB370" s="26"/>
      <c r="AC370" s="26"/>
    </row>
    <row r="371" spans="1:29"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18" t="s">
        <v>736</v>
      </c>
      <c r="X371" s="18"/>
      <c r="Y371" s="26"/>
      <c r="Z371" s="26"/>
      <c r="AA371" s="26"/>
      <c r="AB371" s="26"/>
      <c r="AC371" s="26"/>
    </row>
    <row r="372" spans="1:29"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18" t="s">
        <v>737</v>
      </c>
      <c r="X372" s="18"/>
      <c r="Y372" s="26"/>
      <c r="Z372" s="26"/>
      <c r="AA372" s="26"/>
      <c r="AB372" s="26"/>
      <c r="AC372" s="26"/>
    </row>
    <row r="373" spans="1:29"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18" t="s">
        <v>738</v>
      </c>
      <c r="X373" s="18"/>
      <c r="Y373" s="26"/>
      <c r="Z373" s="26"/>
      <c r="AA373" s="26"/>
      <c r="AB373" s="26"/>
      <c r="AC373" s="26"/>
    </row>
    <row r="374" spans="1:29"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18" t="s">
        <v>739</v>
      </c>
      <c r="X374" s="18"/>
      <c r="Y374" s="26"/>
      <c r="Z374" s="26"/>
      <c r="AA374" s="26"/>
      <c r="AB374" s="26"/>
      <c r="AC374" s="26"/>
    </row>
    <row r="375" spans="1:29"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18" t="s">
        <v>740</v>
      </c>
      <c r="X375" s="18"/>
      <c r="Y375" s="26"/>
      <c r="Z375" s="26"/>
      <c r="AA375" s="26"/>
      <c r="AB375" s="26"/>
      <c r="AC375" s="26"/>
    </row>
    <row r="376" spans="1:29"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18" t="s">
        <v>741</v>
      </c>
      <c r="X376" s="18"/>
      <c r="Y376" s="26"/>
      <c r="Z376" s="26"/>
      <c r="AA376" s="26"/>
      <c r="AB376" s="26"/>
      <c r="AC376" s="26"/>
    </row>
    <row r="377" spans="1:29"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18" t="s">
        <v>742</v>
      </c>
      <c r="X377" s="18"/>
      <c r="Y377" s="26"/>
      <c r="Z377" s="26"/>
      <c r="AA377" s="26"/>
      <c r="AB377" s="26"/>
      <c r="AC377" s="26"/>
    </row>
    <row r="378" spans="1:29"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18" t="s">
        <v>743</v>
      </c>
      <c r="X378" s="18"/>
      <c r="Y378" s="26"/>
      <c r="Z378" s="26"/>
      <c r="AA378" s="26"/>
      <c r="AB378" s="26"/>
      <c r="AC378" s="26"/>
    </row>
    <row r="379" spans="1:29"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18" t="s">
        <v>744</v>
      </c>
      <c r="X379" s="18"/>
      <c r="Y379" s="26"/>
      <c r="Z379" s="26"/>
      <c r="AA379" s="26"/>
      <c r="AB379" s="26"/>
      <c r="AC379" s="26"/>
    </row>
    <row r="380" spans="1:29"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18" t="s">
        <v>745</v>
      </c>
      <c r="X380" s="18"/>
      <c r="Y380" s="26"/>
      <c r="Z380" s="26"/>
      <c r="AA380" s="26"/>
      <c r="AB380" s="26"/>
      <c r="AC380" s="26"/>
    </row>
    <row r="381" spans="1:29"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18" t="s">
        <v>746</v>
      </c>
      <c r="X381" s="18"/>
      <c r="Y381" s="26"/>
      <c r="Z381" s="26"/>
      <c r="AA381" s="26"/>
      <c r="AB381" s="26"/>
      <c r="AC381" s="26"/>
    </row>
    <row r="382" spans="1:29"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18" t="s">
        <v>747</v>
      </c>
      <c r="X382" s="18"/>
      <c r="Y382" s="26"/>
      <c r="Z382" s="26"/>
      <c r="AA382" s="26"/>
      <c r="AB382" s="26"/>
      <c r="AC382" s="26"/>
    </row>
    <row r="383" spans="1:29"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18" t="s">
        <v>748</v>
      </c>
      <c r="X383" s="18"/>
      <c r="Y383" s="26"/>
      <c r="Z383" s="26"/>
      <c r="AA383" s="26"/>
      <c r="AB383" s="26"/>
      <c r="AC383" s="26"/>
    </row>
    <row r="384" spans="1:29"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18" t="s">
        <v>749</v>
      </c>
      <c r="X384" s="18"/>
      <c r="Y384" s="26"/>
      <c r="Z384" s="26"/>
      <c r="AA384" s="26"/>
      <c r="AB384" s="26"/>
      <c r="AC384" s="26"/>
    </row>
    <row r="385" spans="1:29"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18" t="s">
        <v>750</v>
      </c>
      <c r="X385" s="18"/>
      <c r="Y385" s="26"/>
      <c r="Z385" s="26"/>
      <c r="AA385" s="26"/>
      <c r="AB385" s="26"/>
      <c r="AC385" s="26"/>
    </row>
    <row r="386" spans="1:29"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18" t="s">
        <v>751</v>
      </c>
      <c r="X386" s="18"/>
      <c r="Y386" s="26"/>
      <c r="Z386" s="26"/>
      <c r="AA386" s="26"/>
      <c r="AB386" s="26"/>
      <c r="AC386" s="26"/>
    </row>
    <row r="387" spans="1:29"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18" t="s">
        <v>752</v>
      </c>
      <c r="X387" s="18"/>
      <c r="Y387" s="26"/>
      <c r="Z387" s="26"/>
      <c r="AA387" s="26"/>
      <c r="AB387" s="26"/>
      <c r="AC387" s="26"/>
    </row>
    <row r="388" spans="1:29"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18" t="s">
        <v>753</v>
      </c>
      <c r="X388" s="18"/>
      <c r="Y388" s="26"/>
      <c r="Z388" s="26"/>
      <c r="AA388" s="26"/>
      <c r="AB388" s="26"/>
      <c r="AC388" s="26"/>
    </row>
    <row r="389" spans="1:29"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18" t="s">
        <v>754</v>
      </c>
      <c r="X389" s="18"/>
      <c r="Y389" s="26"/>
      <c r="Z389" s="26"/>
      <c r="AA389" s="26"/>
      <c r="AB389" s="26"/>
      <c r="AC389" s="26"/>
    </row>
    <row r="390" spans="1:29"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18" t="s">
        <v>755</v>
      </c>
      <c r="X390" s="18"/>
      <c r="Y390" s="26"/>
      <c r="Z390" s="26"/>
      <c r="AA390" s="26"/>
      <c r="AB390" s="26"/>
      <c r="AC390" s="26"/>
    </row>
    <row r="391" spans="1:29"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18" t="s">
        <v>756</v>
      </c>
      <c r="X391" s="18"/>
      <c r="Y391" s="26"/>
      <c r="Z391" s="26"/>
      <c r="AA391" s="26"/>
      <c r="AB391" s="26"/>
      <c r="AC391" s="26"/>
    </row>
    <row r="392" spans="1:29"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18" t="s">
        <v>757</v>
      </c>
      <c r="X392" s="18"/>
      <c r="Y392" s="26"/>
      <c r="Z392" s="26"/>
      <c r="AA392" s="26"/>
      <c r="AB392" s="26"/>
      <c r="AC392" s="26"/>
    </row>
    <row r="393" spans="1:29"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18" t="s">
        <v>758</v>
      </c>
      <c r="X393" s="18"/>
      <c r="Y393" s="26"/>
      <c r="Z393" s="26"/>
      <c r="AA393" s="26"/>
      <c r="AB393" s="26"/>
      <c r="AC393" s="26"/>
    </row>
    <row r="394" spans="1:29"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18" t="s">
        <v>759</v>
      </c>
      <c r="X394" s="18"/>
      <c r="Y394" s="26"/>
      <c r="Z394" s="26"/>
      <c r="AA394" s="26"/>
      <c r="AB394" s="26"/>
      <c r="AC394" s="26"/>
    </row>
    <row r="395" spans="1:29"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18" t="s">
        <v>760</v>
      </c>
      <c r="X395" s="18"/>
      <c r="Y395" s="26"/>
      <c r="Z395" s="26"/>
      <c r="AA395" s="26"/>
      <c r="AB395" s="26"/>
      <c r="AC395" s="26"/>
    </row>
    <row r="396" spans="1:29"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18" t="s">
        <v>761</v>
      </c>
      <c r="X396" s="18"/>
      <c r="Y396" s="26"/>
      <c r="Z396" s="26"/>
      <c r="AA396" s="26"/>
      <c r="AB396" s="26"/>
      <c r="AC396" s="26"/>
    </row>
    <row r="397" spans="1:29"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18" t="s">
        <v>762</v>
      </c>
      <c r="X397" s="18"/>
      <c r="Y397" s="26"/>
      <c r="Z397" s="26"/>
      <c r="AA397" s="26"/>
      <c r="AB397" s="26"/>
      <c r="AC397" s="26"/>
    </row>
    <row r="398" spans="1:29"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18" t="s">
        <v>763</v>
      </c>
      <c r="X398" s="18"/>
      <c r="Y398" s="26"/>
      <c r="Z398" s="26"/>
      <c r="AA398" s="26"/>
      <c r="AB398" s="26"/>
      <c r="AC398" s="26"/>
    </row>
    <row r="399" spans="1:29"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18" t="s">
        <v>764</v>
      </c>
      <c r="X399" s="18"/>
      <c r="Y399" s="26"/>
      <c r="Z399" s="26"/>
      <c r="AA399" s="26"/>
      <c r="AB399" s="26"/>
      <c r="AC399" s="26"/>
    </row>
    <row r="400" spans="1:29"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18" t="s">
        <v>765</v>
      </c>
      <c r="X400" s="18"/>
      <c r="Y400" s="26"/>
      <c r="Z400" s="26"/>
      <c r="AA400" s="26"/>
      <c r="AB400" s="26"/>
      <c r="AC400" s="26"/>
    </row>
    <row r="401" spans="1:29"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18" t="s">
        <v>766</v>
      </c>
      <c r="X401" s="18"/>
      <c r="Y401" s="26"/>
      <c r="Z401" s="26"/>
      <c r="AA401" s="26"/>
      <c r="AB401" s="26"/>
      <c r="AC401" s="26"/>
    </row>
    <row r="402" spans="1:29"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18" t="s">
        <v>767</v>
      </c>
      <c r="X402" s="18"/>
      <c r="Y402" s="26"/>
      <c r="Z402" s="26"/>
      <c r="AA402" s="26"/>
      <c r="AB402" s="26"/>
      <c r="AC402" s="26"/>
    </row>
    <row r="403" spans="1:29"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18" t="s">
        <v>768</v>
      </c>
      <c r="X403" s="18"/>
      <c r="Y403" s="26"/>
      <c r="Z403" s="26"/>
      <c r="AA403" s="26"/>
      <c r="AB403" s="26"/>
      <c r="AC403" s="26"/>
    </row>
    <row r="404" spans="1:29"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18" t="s">
        <v>769</v>
      </c>
      <c r="X404" s="18"/>
      <c r="Y404" s="26"/>
      <c r="Z404" s="26"/>
      <c r="AA404" s="26"/>
      <c r="AB404" s="26"/>
      <c r="AC404" s="26"/>
    </row>
    <row r="405" spans="1:29"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18" t="s">
        <v>770</v>
      </c>
      <c r="X405" s="18"/>
      <c r="Y405" s="26"/>
      <c r="Z405" s="26"/>
      <c r="AA405" s="26"/>
      <c r="AB405" s="26"/>
      <c r="AC405" s="26"/>
    </row>
    <row r="406" spans="1:29"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18" t="s">
        <v>771</v>
      </c>
      <c r="X406" s="18"/>
      <c r="Y406" s="26"/>
      <c r="Z406" s="26"/>
      <c r="AA406" s="26"/>
      <c r="AB406" s="26"/>
      <c r="AC406" s="26"/>
    </row>
    <row r="407" spans="1:29"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18" t="s">
        <v>772</v>
      </c>
      <c r="X407" s="18"/>
      <c r="Y407" s="26"/>
      <c r="Z407" s="26"/>
      <c r="AA407" s="26"/>
      <c r="AB407" s="26"/>
      <c r="AC407" s="26"/>
    </row>
    <row r="408" spans="1:29"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18" t="s">
        <v>773</v>
      </c>
      <c r="X408" s="18"/>
      <c r="Y408" s="26"/>
      <c r="Z408" s="26"/>
      <c r="AA408" s="26"/>
      <c r="AB408" s="26"/>
      <c r="AC408" s="26"/>
    </row>
    <row r="409" spans="1:29"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18" t="s">
        <v>774</v>
      </c>
      <c r="X409" s="18"/>
      <c r="Y409" s="26"/>
      <c r="Z409" s="26"/>
      <c r="AA409" s="26"/>
      <c r="AB409" s="26"/>
      <c r="AC409" s="26"/>
    </row>
    <row r="410" spans="1:29"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18" t="s">
        <v>775</v>
      </c>
      <c r="X410" s="18"/>
      <c r="Y410" s="26"/>
      <c r="Z410" s="26"/>
      <c r="AA410" s="26"/>
      <c r="AB410" s="26"/>
      <c r="AC410" s="26"/>
    </row>
    <row r="411" spans="1:29"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18" t="s">
        <v>776</v>
      </c>
      <c r="X411" s="18"/>
      <c r="Y411" s="26"/>
      <c r="Z411" s="26"/>
      <c r="AA411" s="26"/>
      <c r="AB411" s="26"/>
      <c r="AC411" s="26"/>
    </row>
    <row r="412" spans="1:29"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18" t="s">
        <v>777</v>
      </c>
      <c r="X412" s="18"/>
      <c r="Y412" s="26"/>
      <c r="Z412" s="26"/>
      <c r="AA412" s="26"/>
      <c r="AB412" s="26"/>
      <c r="AC412" s="26"/>
    </row>
    <row r="413" spans="1:29"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row>
    <row r="414" spans="1:29"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row>
    <row r="415" spans="1:29"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row>
    <row r="416" spans="1:29"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row>
  </sheetData>
  <sheetProtection algorithmName="SHA-512" hashValue="x0L88ESrqZUvdgnMPTuVfuAjAe1pi8HkNlRJqHoFAQcV35pcabbBEVlM/GvLbsLKB/5z4T5Vkzz7V3y6XwVUFg==" saltValue="P+AmAMG5OxkhnXq3a3hb7g==" spinCount="100000" sheet="1" objects="1" scenarios="1"/>
  <sortState xmlns:xlrd2="http://schemas.microsoft.com/office/spreadsheetml/2017/richdata2" ref="A2:A13">
    <sortCondition ref="A2"/>
  </sortState>
  <mergeCells count="10">
    <mergeCell ref="B45:D45"/>
    <mergeCell ref="B34:D34"/>
    <mergeCell ref="S45:U45"/>
    <mergeCell ref="J33:K33"/>
    <mergeCell ref="Q34:T34"/>
    <mergeCell ref="F45:G45"/>
    <mergeCell ref="I45:K45"/>
    <mergeCell ref="M45:P45"/>
    <mergeCell ref="F34:H34"/>
    <mergeCell ref="M34:N34"/>
  </mergeCells>
  <phoneticPr fontId="21" type="noConversion"/>
  <pageMargins left="0.7" right="0.7" top="0.75" bottom="0.75" header="0.3" footer="0.3"/>
  <pageSetup paperSize="9" orientation="portrait" horizontalDpi="1200" verticalDpi="120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4745-101B-4227-8424-445FB5189DA1}">
  <sheetPr codeName="Sheet39">
    <tabColor rgb="FF7030A0"/>
  </sheetPr>
  <dimension ref="A1:H157"/>
  <sheetViews>
    <sheetView zoomScale="80" zoomScaleNormal="80" workbookViewId="0"/>
  </sheetViews>
  <sheetFormatPr defaultColWidth="0" defaultRowHeight="15" zeroHeight="1" x14ac:dyDescent="0.25"/>
  <cols>
    <col min="1" max="1" width="3.28515625" customWidth="1"/>
    <col min="2" max="2" width="24.42578125" bestFit="1" customWidth="1"/>
    <col min="3" max="3" width="34.140625" bestFit="1" customWidth="1"/>
    <col min="4" max="4" width="41.85546875" bestFit="1" customWidth="1"/>
    <col min="5" max="5" width="50.140625" customWidth="1"/>
    <col min="6" max="6" width="20.42578125" customWidth="1"/>
    <col min="7" max="8" width="8.85546875" customWidth="1"/>
    <col min="9" max="16384" width="8.85546875" hidden="1"/>
  </cols>
  <sheetData>
    <row r="1" spans="1:8" ht="15.75" thickBot="1" x14ac:dyDescent="0.3">
      <c r="A1" s="61"/>
      <c r="B1" s="61"/>
      <c r="C1" s="61"/>
      <c r="D1" s="61"/>
      <c r="E1" s="61"/>
      <c r="F1" s="61"/>
      <c r="G1" s="61"/>
      <c r="H1" s="61"/>
    </row>
    <row r="2" spans="1:8" ht="19.149999999999999" customHeight="1" thickBot="1" x14ac:dyDescent="0.3">
      <c r="A2" s="26"/>
      <c r="B2" s="281" t="s">
        <v>778</v>
      </c>
      <c r="C2" s="282" t="s">
        <v>779</v>
      </c>
      <c r="D2" s="282" t="s">
        <v>780</v>
      </c>
      <c r="E2" s="283" t="s">
        <v>781</v>
      </c>
      <c r="F2" s="284" t="s">
        <v>71</v>
      </c>
      <c r="G2" s="61"/>
      <c r="H2" s="61"/>
    </row>
    <row r="3" spans="1:8" ht="21.6" customHeight="1" thickBot="1" x14ac:dyDescent="0.3">
      <c r="A3" s="26"/>
      <c r="B3" s="277" t="s">
        <v>782</v>
      </c>
      <c r="C3" s="285" t="s">
        <v>783</v>
      </c>
      <c r="D3" s="285" t="s">
        <v>784</v>
      </c>
      <c r="E3" s="278" t="s">
        <v>785</v>
      </c>
      <c r="F3" s="279" t="s">
        <v>177</v>
      </c>
      <c r="G3" s="26"/>
      <c r="H3" s="26"/>
    </row>
    <row r="4" spans="1:8" x14ac:dyDescent="0.25">
      <c r="A4" s="26"/>
      <c r="B4" s="942" t="s">
        <v>174</v>
      </c>
      <c r="C4" s="945" t="s">
        <v>174</v>
      </c>
      <c r="D4" s="286" t="s">
        <v>786</v>
      </c>
      <c r="E4" s="268" t="s">
        <v>233</v>
      </c>
      <c r="F4" s="269" t="s">
        <v>175</v>
      </c>
      <c r="G4" s="26"/>
      <c r="H4" s="26"/>
    </row>
    <row r="5" spans="1:8" x14ac:dyDescent="0.25">
      <c r="A5" s="26"/>
      <c r="B5" s="943"/>
      <c r="C5" s="946"/>
      <c r="D5" s="7" t="s">
        <v>787</v>
      </c>
      <c r="E5" s="9" t="s">
        <v>788</v>
      </c>
      <c r="F5" s="270" t="s">
        <v>175</v>
      </c>
      <c r="G5" s="26"/>
      <c r="H5" s="26"/>
    </row>
    <row r="6" spans="1:8" x14ac:dyDescent="0.25">
      <c r="A6" s="26"/>
      <c r="B6" s="943"/>
      <c r="C6" s="946"/>
      <c r="D6" s="7" t="s">
        <v>789</v>
      </c>
      <c r="E6" s="9" t="s">
        <v>238</v>
      </c>
      <c r="F6" s="270" t="s">
        <v>175</v>
      </c>
      <c r="G6" s="26"/>
      <c r="H6" s="26"/>
    </row>
    <row r="7" spans="1:8" x14ac:dyDescent="0.25">
      <c r="A7" s="26"/>
      <c r="B7" s="943"/>
      <c r="C7" s="946"/>
      <c r="D7" s="7" t="s">
        <v>790</v>
      </c>
      <c r="E7" s="9" t="s">
        <v>239</v>
      </c>
      <c r="F7" s="270" t="s">
        <v>175</v>
      </c>
      <c r="G7" s="26"/>
      <c r="H7" s="26"/>
    </row>
    <row r="8" spans="1:8" x14ac:dyDescent="0.25">
      <c r="A8" s="26"/>
      <c r="B8" s="943"/>
      <c r="C8" s="946" t="s">
        <v>791</v>
      </c>
      <c r="D8" s="7" t="s">
        <v>792</v>
      </c>
      <c r="E8" s="9" t="s">
        <v>228</v>
      </c>
      <c r="F8" s="274" t="s">
        <v>177</v>
      </c>
      <c r="G8" s="26"/>
      <c r="H8" s="26"/>
    </row>
    <row r="9" spans="1:8" x14ac:dyDescent="0.25">
      <c r="A9" s="26"/>
      <c r="B9" s="943"/>
      <c r="C9" s="946"/>
      <c r="D9" s="7" t="s">
        <v>793</v>
      </c>
      <c r="E9" s="9" t="s">
        <v>230</v>
      </c>
      <c r="F9" s="274" t="s">
        <v>177</v>
      </c>
      <c r="G9" s="26"/>
      <c r="H9" s="26"/>
    </row>
    <row r="10" spans="1:8" x14ac:dyDescent="0.25">
      <c r="A10" s="26"/>
      <c r="B10" s="943"/>
      <c r="C10" s="946"/>
      <c r="D10" s="7" t="s">
        <v>794</v>
      </c>
      <c r="E10" s="9" t="s">
        <v>231</v>
      </c>
      <c r="F10" s="274" t="s">
        <v>177</v>
      </c>
      <c r="G10" s="26"/>
      <c r="H10" s="26"/>
    </row>
    <row r="11" spans="1:8" x14ac:dyDescent="0.25">
      <c r="A11" s="26"/>
      <c r="B11" s="943"/>
      <c r="C11" s="946"/>
      <c r="D11" s="7" t="s">
        <v>795</v>
      </c>
      <c r="E11" s="9" t="s">
        <v>232</v>
      </c>
      <c r="F11" s="274" t="s">
        <v>177</v>
      </c>
      <c r="G11" s="26"/>
      <c r="H11" s="26"/>
    </row>
    <row r="12" spans="1:8" x14ac:dyDescent="0.25">
      <c r="A12" s="26"/>
      <c r="B12" s="943"/>
      <c r="C12" s="946"/>
      <c r="D12" s="7" t="s">
        <v>796</v>
      </c>
      <c r="E12" s="9" t="s">
        <v>235</v>
      </c>
      <c r="F12" s="274" t="s">
        <v>177</v>
      </c>
      <c r="G12" s="26"/>
      <c r="H12" s="26"/>
    </row>
    <row r="13" spans="1:8" x14ac:dyDescent="0.25">
      <c r="A13" s="26"/>
      <c r="B13" s="943"/>
      <c r="C13" s="7" t="s">
        <v>236</v>
      </c>
      <c r="D13" s="7" t="s">
        <v>797</v>
      </c>
      <c r="E13" s="9" t="s">
        <v>236</v>
      </c>
      <c r="F13" s="270" t="s">
        <v>175</v>
      </c>
      <c r="G13" s="26"/>
      <c r="H13" s="26"/>
    </row>
    <row r="14" spans="1:8" ht="15.75" thickBot="1" x14ac:dyDescent="0.3">
      <c r="A14" s="26"/>
      <c r="B14" s="944"/>
      <c r="C14" s="258" t="s">
        <v>798</v>
      </c>
      <c r="D14" s="258" t="s">
        <v>799</v>
      </c>
      <c r="E14" s="271" t="s">
        <v>237</v>
      </c>
      <c r="F14" s="272" t="s">
        <v>175</v>
      </c>
      <c r="G14" s="26"/>
      <c r="H14" s="26"/>
    </row>
    <row r="15" spans="1:8" x14ac:dyDescent="0.25">
      <c r="A15" s="26"/>
      <c r="B15" s="942" t="s">
        <v>800</v>
      </c>
      <c r="C15" s="286" t="s">
        <v>801</v>
      </c>
      <c r="D15" s="286" t="s">
        <v>802</v>
      </c>
      <c r="E15" s="268" t="s">
        <v>241</v>
      </c>
      <c r="F15" s="269" t="s">
        <v>175</v>
      </c>
      <c r="G15" s="26"/>
      <c r="H15" s="26"/>
    </row>
    <row r="16" spans="1:8" x14ac:dyDescent="0.25">
      <c r="A16" s="26"/>
      <c r="B16" s="943"/>
      <c r="C16" s="7" t="s">
        <v>240</v>
      </c>
      <c r="D16" s="7" t="s">
        <v>803</v>
      </c>
      <c r="E16" s="9" t="s">
        <v>240</v>
      </c>
      <c r="F16" s="270" t="s">
        <v>175</v>
      </c>
      <c r="G16" s="26"/>
      <c r="H16" s="26"/>
    </row>
    <row r="17" spans="1:8" x14ac:dyDescent="0.25">
      <c r="A17" s="26"/>
      <c r="B17" s="943"/>
      <c r="C17" s="946" t="s">
        <v>804</v>
      </c>
      <c r="D17" s="7" t="s">
        <v>805</v>
      </c>
      <c r="E17" s="9" t="s">
        <v>242</v>
      </c>
      <c r="F17" s="274" t="s">
        <v>177</v>
      </c>
      <c r="G17" s="26"/>
      <c r="H17" s="26"/>
    </row>
    <row r="18" spans="1:8" x14ac:dyDescent="0.25">
      <c r="A18" s="26"/>
      <c r="B18" s="943"/>
      <c r="C18" s="946"/>
      <c r="D18" s="7" t="s">
        <v>806</v>
      </c>
      <c r="E18" s="9" t="s">
        <v>243</v>
      </c>
      <c r="F18" s="274" t="s">
        <v>177</v>
      </c>
      <c r="G18" s="26"/>
      <c r="H18" s="26"/>
    </row>
    <row r="19" spans="1:8" ht="15.75" thickBot="1" x14ac:dyDescent="0.3">
      <c r="A19" s="26"/>
      <c r="B19" s="944"/>
      <c r="C19" s="947"/>
      <c r="D19" s="258" t="s">
        <v>807</v>
      </c>
      <c r="E19" s="271" t="s">
        <v>244</v>
      </c>
      <c r="F19" s="275" t="s">
        <v>177</v>
      </c>
      <c r="G19" s="26"/>
      <c r="H19" s="26"/>
    </row>
    <row r="20" spans="1:8" x14ac:dyDescent="0.25">
      <c r="A20" s="26"/>
      <c r="B20" s="942" t="s">
        <v>179</v>
      </c>
      <c r="C20" s="286" t="s">
        <v>808</v>
      </c>
      <c r="D20" s="286" t="s">
        <v>809</v>
      </c>
      <c r="E20" s="268" t="s">
        <v>251</v>
      </c>
      <c r="F20" s="269" t="s">
        <v>175</v>
      </c>
      <c r="G20" s="26"/>
      <c r="H20" s="26"/>
    </row>
    <row r="21" spans="1:8" x14ac:dyDescent="0.25">
      <c r="A21" s="26"/>
      <c r="B21" s="943"/>
      <c r="C21" s="946" t="s">
        <v>810</v>
      </c>
      <c r="D21" s="7" t="s">
        <v>811</v>
      </c>
      <c r="E21" s="9" t="s">
        <v>245</v>
      </c>
      <c r="F21" s="274" t="s">
        <v>177</v>
      </c>
      <c r="G21" s="26"/>
      <c r="H21" s="26"/>
    </row>
    <row r="22" spans="1:8" x14ac:dyDescent="0.25">
      <c r="A22" s="26"/>
      <c r="B22" s="943"/>
      <c r="C22" s="946"/>
      <c r="D22" s="7" t="s">
        <v>812</v>
      </c>
      <c r="E22" s="9" t="s">
        <v>246</v>
      </c>
      <c r="F22" s="274" t="s">
        <v>177</v>
      </c>
      <c r="G22" s="26"/>
      <c r="H22" s="26"/>
    </row>
    <row r="23" spans="1:8" x14ac:dyDescent="0.25">
      <c r="A23" s="26"/>
      <c r="B23" s="943"/>
      <c r="C23" s="946"/>
      <c r="D23" s="7" t="s">
        <v>813</v>
      </c>
      <c r="E23" s="9" t="s">
        <v>247</v>
      </c>
      <c r="F23" s="274" t="s">
        <v>177</v>
      </c>
      <c r="G23" s="26"/>
      <c r="H23" s="26"/>
    </row>
    <row r="24" spans="1:8" x14ac:dyDescent="0.25">
      <c r="A24" s="26"/>
      <c r="B24" s="943"/>
      <c r="C24" s="946"/>
      <c r="D24" s="7" t="s">
        <v>814</v>
      </c>
      <c r="E24" s="9" t="s">
        <v>248</v>
      </c>
      <c r="F24" s="274" t="s">
        <v>177</v>
      </c>
      <c r="G24" s="26"/>
      <c r="H24" s="26"/>
    </row>
    <row r="25" spans="1:8" x14ac:dyDescent="0.25">
      <c r="A25" s="26"/>
      <c r="B25" s="943"/>
      <c r="C25" s="946"/>
      <c r="D25" s="7" t="s">
        <v>815</v>
      </c>
      <c r="E25" s="9" t="s">
        <v>249</v>
      </c>
      <c r="F25" s="274" t="s">
        <v>177</v>
      </c>
      <c r="G25" s="26"/>
      <c r="H25" s="26"/>
    </row>
    <row r="26" spans="1:8" x14ac:dyDescent="0.25">
      <c r="A26" s="26"/>
      <c r="B26" s="943"/>
      <c r="C26" s="946"/>
      <c r="D26" s="7" t="s">
        <v>816</v>
      </c>
      <c r="E26" s="9" t="s">
        <v>250</v>
      </c>
      <c r="F26" s="274" t="s">
        <v>177</v>
      </c>
      <c r="G26" s="26"/>
      <c r="H26" s="26"/>
    </row>
    <row r="27" spans="1:8" ht="15.75" thickBot="1" x14ac:dyDescent="0.3">
      <c r="A27" s="26"/>
      <c r="B27" s="944"/>
      <c r="C27" s="947"/>
      <c r="D27" s="258" t="s">
        <v>817</v>
      </c>
      <c r="E27" s="271" t="s">
        <v>252</v>
      </c>
      <c r="F27" s="275" t="s">
        <v>177</v>
      </c>
      <c r="G27" s="26"/>
      <c r="H27" s="26"/>
    </row>
    <row r="28" spans="1:8" x14ac:dyDescent="0.25">
      <c r="A28" s="26"/>
      <c r="B28" s="942" t="s">
        <v>197</v>
      </c>
      <c r="C28" s="945" t="s">
        <v>818</v>
      </c>
      <c r="D28" s="286" t="s">
        <v>819</v>
      </c>
      <c r="E28" s="268" t="s">
        <v>290</v>
      </c>
      <c r="F28" s="269" t="s">
        <v>175</v>
      </c>
      <c r="G28" s="26"/>
      <c r="H28" s="26"/>
    </row>
    <row r="29" spans="1:8" x14ac:dyDescent="0.25">
      <c r="A29" s="26"/>
      <c r="B29" s="943"/>
      <c r="C29" s="946"/>
      <c r="D29" s="7" t="s">
        <v>820</v>
      </c>
      <c r="E29" s="9" t="s">
        <v>287</v>
      </c>
      <c r="F29" s="274" t="s">
        <v>177</v>
      </c>
      <c r="G29" s="26"/>
      <c r="H29" s="26"/>
    </row>
    <row r="30" spans="1:8" x14ac:dyDescent="0.25">
      <c r="A30" s="26"/>
      <c r="B30" s="943"/>
      <c r="C30" s="946"/>
      <c r="D30" s="7" t="s">
        <v>821</v>
      </c>
      <c r="E30" s="9" t="s">
        <v>288</v>
      </c>
      <c r="F30" s="274" t="s">
        <v>177</v>
      </c>
      <c r="G30" s="26"/>
      <c r="H30" s="26"/>
    </row>
    <row r="31" spans="1:8" x14ac:dyDescent="0.25">
      <c r="A31" s="26"/>
      <c r="B31" s="943"/>
      <c r="C31" s="946" t="s">
        <v>822</v>
      </c>
      <c r="D31" s="7" t="s">
        <v>823</v>
      </c>
      <c r="E31" s="9" t="s">
        <v>289</v>
      </c>
      <c r="F31" s="270" t="s">
        <v>175</v>
      </c>
      <c r="G31" s="26"/>
      <c r="H31" s="26"/>
    </row>
    <row r="32" spans="1:8" x14ac:dyDescent="0.25">
      <c r="A32" s="26"/>
      <c r="B32" s="943"/>
      <c r="C32" s="946"/>
      <c r="D32" s="7" t="s">
        <v>824</v>
      </c>
      <c r="E32" s="9" t="s">
        <v>825</v>
      </c>
      <c r="F32" s="274" t="s">
        <v>177</v>
      </c>
      <c r="G32" s="26"/>
      <c r="H32" s="26"/>
    </row>
    <row r="33" spans="1:8" ht="30" x14ac:dyDescent="0.25">
      <c r="A33" s="26"/>
      <c r="B33" s="943"/>
      <c r="C33" s="946"/>
      <c r="D33" s="7" t="s">
        <v>826</v>
      </c>
      <c r="E33" s="9" t="s">
        <v>827</v>
      </c>
      <c r="F33" s="274" t="s">
        <v>177</v>
      </c>
      <c r="G33" s="26"/>
      <c r="H33" s="26"/>
    </row>
    <row r="34" spans="1:8" x14ac:dyDescent="0.25">
      <c r="A34" s="26"/>
      <c r="B34" s="943"/>
      <c r="C34" s="7" t="s">
        <v>828</v>
      </c>
      <c r="D34" s="7" t="s">
        <v>829</v>
      </c>
      <c r="E34" s="9" t="s">
        <v>291</v>
      </c>
      <c r="F34" s="276" t="s">
        <v>261</v>
      </c>
      <c r="G34" s="26"/>
      <c r="H34" s="26"/>
    </row>
    <row r="35" spans="1:8" x14ac:dyDescent="0.25">
      <c r="A35" s="26"/>
      <c r="B35" s="943"/>
      <c r="C35" s="946" t="s">
        <v>830</v>
      </c>
      <c r="D35" s="7" t="s">
        <v>831</v>
      </c>
      <c r="E35" s="9" t="s">
        <v>294</v>
      </c>
      <c r="F35" s="270" t="s">
        <v>175</v>
      </c>
      <c r="G35" s="26"/>
      <c r="H35" s="26"/>
    </row>
    <row r="36" spans="1:8" x14ac:dyDescent="0.25">
      <c r="A36" s="26"/>
      <c r="B36" s="943"/>
      <c r="C36" s="946"/>
      <c r="D36" s="7" t="s">
        <v>832</v>
      </c>
      <c r="E36" s="9" t="s">
        <v>292</v>
      </c>
      <c r="F36" s="270" t="s">
        <v>175</v>
      </c>
      <c r="G36" s="26"/>
      <c r="H36" s="26"/>
    </row>
    <row r="37" spans="1:8" ht="30" x14ac:dyDescent="0.25">
      <c r="A37" s="26"/>
      <c r="B37" s="943"/>
      <c r="C37" s="946"/>
      <c r="D37" s="7" t="s">
        <v>833</v>
      </c>
      <c r="E37" s="9" t="s">
        <v>295</v>
      </c>
      <c r="F37" s="274" t="s">
        <v>177</v>
      </c>
      <c r="G37" s="26"/>
      <c r="H37" s="26"/>
    </row>
    <row r="38" spans="1:8" ht="15.75" thickBot="1" x14ac:dyDescent="0.3">
      <c r="A38" s="26"/>
      <c r="B38" s="944"/>
      <c r="C38" s="947"/>
      <c r="D38" s="258" t="s">
        <v>834</v>
      </c>
      <c r="E38" s="271" t="s">
        <v>293</v>
      </c>
      <c r="F38" s="275" t="s">
        <v>177</v>
      </c>
      <c r="G38" s="26"/>
      <c r="H38" s="26"/>
    </row>
    <row r="39" spans="1:8" x14ac:dyDescent="0.25">
      <c r="A39" s="26"/>
      <c r="B39" s="948" t="s">
        <v>180</v>
      </c>
      <c r="C39" s="286" t="s">
        <v>835</v>
      </c>
      <c r="D39" s="286" t="s">
        <v>836</v>
      </c>
      <c r="E39" s="268" t="s">
        <v>837</v>
      </c>
      <c r="F39" s="269" t="s">
        <v>838</v>
      </c>
      <c r="G39" s="26"/>
      <c r="H39" s="26"/>
    </row>
    <row r="40" spans="1:8" x14ac:dyDescent="0.25">
      <c r="A40" s="26"/>
      <c r="B40" s="949"/>
      <c r="C40" s="7" t="s">
        <v>835</v>
      </c>
      <c r="D40" s="7" t="s">
        <v>839</v>
      </c>
      <c r="E40" s="9" t="s">
        <v>286</v>
      </c>
      <c r="F40" s="270" t="s">
        <v>838</v>
      </c>
      <c r="G40" s="26"/>
      <c r="H40" s="26"/>
    </row>
    <row r="41" spans="1:8" ht="30.75" thickBot="1" x14ac:dyDescent="0.3">
      <c r="A41" s="26"/>
      <c r="B41" s="950"/>
      <c r="C41" s="258" t="s">
        <v>835</v>
      </c>
      <c r="D41" s="258" t="s">
        <v>840</v>
      </c>
      <c r="E41" s="271" t="s">
        <v>841</v>
      </c>
      <c r="F41" s="275" t="s">
        <v>177</v>
      </c>
      <c r="G41" s="26"/>
      <c r="H41" s="26"/>
    </row>
    <row r="42" spans="1:8" x14ac:dyDescent="0.25">
      <c r="A42" s="26"/>
      <c r="B42" s="942" t="s">
        <v>181</v>
      </c>
      <c r="C42" s="286" t="s">
        <v>835</v>
      </c>
      <c r="D42" s="286" t="s">
        <v>842</v>
      </c>
      <c r="E42" s="268" t="s">
        <v>333</v>
      </c>
      <c r="F42" s="269" t="s">
        <v>838</v>
      </c>
      <c r="G42" s="26"/>
      <c r="H42" s="26"/>
    </row>
    <row r="43" spans="1:8" x14ac:dyDescent="0.25">
      <c r="A43" s="26"/>
      <c r="B43" s="943"/>
      <c r="C43" s="7" t="s">
        <v>835</v>
      </c>
      <c r="D43" s="7" t="s">
        <v>843</v>
      </c>
      <c r="E43" s="9" t="s">
        <v>327</v>
      </c>
      <c r="F43" s="270" t="s">
        <v>838</v>
      </c>
      <c r="G43" s="26"/>
      <c r="H43" s="26"/>
    </row>
    <row r="44" spans="1:8" x14ac:dyDescent="0.25">
      <c r="A44" s="26"/>
      <c r="B44" s="943"/>
      <c r="C44" s="7" t="s">
        <v>835</v>
      </c>
      <c r="D44" s="7" t="s">
        <v>844</v>
      </c>
      <c r="E44" s="9" t="s">
        <v>331</v>
      </c>
      <c r="F44" s="270" t="s">
        <v>838</v>
      </c>
      <c r="G44" s="26"/>
      <c r="H44" s="26"/>
    </row>
    <row r="45" spans="1:8" x14ac:dyDescent="0.25">
      <c r="A45" s="26"/>
      <c r="B45" s="943"/>
      <c r="C45" s="7" t="s">
        <v>835</v>
      </c>
      <c r="D45" s="7" t="s">
        <v>845</v>
      </c>
      <c r="E45" s="9" t="s">
        <v>328</v>
      </c>
      <c r="F45" s="270" t="s">
        <v>175</v>
      </c>
      <c r="G45" s="26"/>
      <c r="H45" s="26"/>
    </row>
    <row r="46" spans="1:8" x14ac:dyDescent="0.25">
      <c r="A46" s="26"/>
      <c r="B46" s="943"/>
      <c r="C46" s="7" t="s">
        <v>835</v>
      </c>
      <c r="D46" s="7" t="s">
        <v>846</v>
      </c>
      <c r="E46" s="9" t="s">
        <v>330</v>
      </c>
      <c r="F46" s="270" t="s">
        <v>838</v>
      </c>
      <c r="G46" s="26"/>
      <c r="H46" s="26"/>
    </row>
    <row r="47" spans="1:8" x14ac:dyDescent="0.25">
      <c r="A47" s="26"/>
      <c r="B47" s="943"/>
      <c r="C47" s="7" t="s">
        <v>835</v>
      </c>
      <c r="D47" s="7" t="s">
        <v>847</v>
      </c>
      <c r="E47" s="9" t="s">
        <v>329</v>
      </c>
      <c r="F47" s="270" t="s">
        <v>175</v>
      </c>
      <c r="G47" s="26"/>
      <c r="H47" s="26"/>
    </row>
    <row r="48" spans="1:8" x14ac:dyDescent="0.25">
      <c r="A48" s="26"/>
      <c r="B48" s="943"/>
      <c r="C48" s="7" t="s">
        <v>835</v>
      </c>
      <c r="D48" s="7" t="s">
        <v>848</v>
      </c>
      <c r="E48" s="9" t="s">
        <v>332</v>
      </c>
      <c r="F48" s="270" t="s">
        <v>838</v>
      </c>
      <c r="G48" s="26"/>
      <c r="H48" s="26"/>
    </row>
    <row r="49" spans="1:8" x14ac:dyDescent="0.25">
      <c r="A49" s="26"/>
      <c r="B49" s="943"/>
      <c r="C49" s="7" t="s">
        <v>835</v>
      </c>
      <c r="D49" s="7" t="s">
        <v>849</v>
      </c>
      <c r="E49" s="9" t="s">
        <v>850</v>
      </c>
      <c r="F49" s="270" t="s">
        <v>175</v>
      </c>
      <c r="G49" s="26"/>
      <c r="H49" s="26"/>
    </row>
    <row r="50" spans="1:8" x14ac:dyDescent="0.25">
      <c r="A50" s="26"/>
      <c r="B50" s="943"/>
      <c r="C50" s="7" t="s">
        <v>835</v>
      </c>
      <c r="D50" s="7" t="s">
        <v>851</v>
      </c>
      <c r="E50" s="9" t="s">
        <v>852</v>
      </c>
      <c r="F50" s="274" t="s">
        <v>177</v>
      </c>
      <c r="G50" s="26"/>
      <c r="H50" s="26"/>
    </row>
    <row r="51" spans="1:8" ht="15.75" thickBot="1" x14ac:dyDescent="0.3">
      <c r="A51" s="26"/>
      <c r="B51" s="944"/>
      <c r="C51" s="258" t="s">
        <v>835</v>
      </c>
      <c r="D51" s="258" t="s">
        <v>853</v>
      </c>
      <c r="E51" s="271" t="s">
        <v>285</v>
      </c>
      <c r="F51" s="275" t="s">
        <v>177</v>
      </c>
      <c r="G51" s="26"/>
      <c r="H51" s="26"/>
    </row>
    <row r="52" spans="1:8" x14ac:dyDescent="0.25">
      <c r="A52" s="26"/>
      <c r="B52" s="942" t="s">
        <v>182</v>
      </c>
      <c r="C52" s="286" t="s">
        <v>256</v>
      </c>
      <c r="D52" s="286" t="s">
        <v>854</v>
      </c>
      <c r="E52" s="268" t="s">
        <v>256</v>
      </c>
      <c r="F52" s="273" t="s">
        <v>177</v>
      </c>
      <c r="G52" s="26"/>
      <c r="H52" s="26"/>
    </row>
    <row r="53" spans="1:8" ht="15.75" thickBot="1" x14ac:dyDescent="0.3">
      <c r="A53" s="26"/>
      <c r="B53" s="944"/>
      <c r="C53" s="258" t="s">
        <v>855</v>
      </c>
      <c r="D53" s="258" t="s">
        <v>856</v>
      </c>
      <c r="E53" s="271" t="s">
        <v>255</v>
      </c>
      <c r="F53" s="275" t="s">
        <v>177</v>
      </c>
      <c r="G53" s="26"/>
      <c r="H53" s="26"/>
    </row>
    <row r="54" spans="1:8" x14ac:dyDescent="0.25">
      <c r="A54" s="26"/>
      <c r="B54" s="942" t="s">
        <v>857</v>
      </c>
      <c r="C54" s="286" t="s">
        <v>858</v>
      </c>
      <c r="D54" s="286" t="s">
        <v>859</v>
      </c>
      <c r="E54" s="268" t="s">
        <v>298</v>
      </c>
      <c r="F54" s="273" t="s">
        <v>177</v>
      </c>
      <c r="G54" s="26"/>
      <c r="H54" s="26"/>
    </row>
    <row r="55" spans="1:8" x14ac:dyDescent="0.25">
      <c r="A55" s="26"/>
      <c r="B55" s="943"/>
      <c r="C55" s="7" t="s">
        <v>299</v>
      </c>
      <c r="D55" s="7" t="s">
        <v>860</v>
      </c>
      <c r="E55" s="9" t="s">
        <v>299</v>
      </c>
      <c r="F55" s="270" t="s">
        <v>175</v>
      </c>
      <c r="G55" s="26"/>
      <c r="H55" s="26"/>
    </row>
    <row r="56" spans="1:8" ht="15.75" thickBot="1" x14ac:dyDescent="0.3">
      <c r="A56" s="26"/>
      <c r="B56" s="944"/>
      <c r="C56" s="258" t="s">
        <v>861</v>
      </c>
      <c r="D56" s="258" t="s">
        <v>862</v>
      </c>
      <c r="E56" s="271" t="s">
        <v>296</v>
      </c>
      <c r="F56" s="275" t="s">
        <v>177</v>
      </c>
      <c r="G56" s="26"/>
      <c r="H56" s="26"/>
    </row>
    <row r="57" spans="1:8" x14ac:dyDescent="0.25">
      <c r="A57" s="26"/>
      <c r="B57" s="942" t="s">
        <v>183</v>
      </c>
      <c r="C57" s="286" t="s">
        <v>863</v>
      </c>
      <c r="D57" s="286" t="s">
        <v>864</v>
      </c>
      <c r="E57" s="268" t="s">
        <v>257</v>
      </c>
      <c r="F57" s="269" t="s">
        <v>175</v>
      </c>
      <c r="G57" s="26"/>
      <c r="H57" s="26"/>
    </row>
    <row r="58" spans="1:8" ht="15.75" thickBot="1" x14ac:dyDescent="0.3">
      <c r="A58" s="26"/>
      <c r="B58" s="944"/>
      <c r="C58" s="258" t="s">
        <v>865</v>
      </c>
      <c r="D58" s="258" t="s">
        <v>866</v>
      </c>
      <c r="E58" s="271" t="s">
        <v>258</v>
      </c>
      <c r="F58" s="275" t="s">
        <v>177</v>
      </c>
      <c r="G58" s="26"/>
      <c r="H58" s="26"/>
    </row>
    <row r="59" spans="1:8" x14ac:dyDescent="0.25">
      <c r="A59" s="26"/>
      <c r="B59" s="942" t="s">
        <v>79</v>
      </c>
      <c r="C59" s="286" t="s">
        <v>259</v>
      </c>
      <c r="D59" s="286" t="s">
        <v>867</v>
      </c>
      <c r="E59" s="268" t="s">
        <v>259</v>
      </c>
      <c r="F59" s="269" t="s">
        <v>175</v>
      </c>
      <c r="G59" s="26"/>
      <c r="H59" s="26"/>
    </row>
    <row r="60" spans="1:8" x14ac:dyDescent="0.25">
      <c r="A60" s="26"/>
      <c r="B60" s="943"/>
      <c r="C60" s="7" t="s">
        <v>868</v>
      </c>
      <c r="D60" s="7" t="s">
        <v>869</v>
      </c>
      <c r="E60" s="9" t="s">
        <v>277</v>
      </c>
      <c r="F60" s="270" t="s">
        <v>175</v>
      </c>
      <c r="G60" s="26"/>
      <c r="H60" s="26"/>
    </row>
    <row r="61" spans="1:8" x14ac:dyDescent="0.25">
      <c r="A61" s="26"/>
      <c r="B61" s="943"/>
      <c r="C61" s="7" t="s">
        <v>870</v>
      </c>
      <c r="D61" s="7" t="s">
        <v>871</v>
      </c>
      <c r="E61" s="9" t="s">
        <v>322</v>
      </c>
      <c r="F61" s="274" t="s">
        <v>177</v>
      </c>
      <c r="G61" s="26"/>
      <c r="H61" s="26"/>
    </row>
    <row r="62" spans="1:8" x14ac:dyDescent="0.25">
      <c r="A62" s="26"/>
      <c r="B62" s="943"/>
      <c r="C62" s="7" t="s">
        <v>263</v>
      </c>
      <c r="D62" s="7" t="s">
        <v>872</v>
      </c>
      <c r="E62" s="9" t="s">
        <v>263</v>
      </c>
      <c r="F62" s="270" t="s">
        <v>175</v>
      </c>
      <c r="G62" s="26"/>
      <c r="H62" s="26"/>
    </row>
    <row r="63" spans="1:8" x14ac:dyDescent="0.25">
      <c r="A63" s="26"/>
      <c r="B63" s="943"/>
      <c r="C63" s="7" t="s">
        <v>873</v>
      </c>
      <c r="D63" s="7" t="s">
        <v>874</v>
      </c>
      <c r="E63" s="9" t="s">
        <v>266</v>
      </c>
      <c r="F63" s="274" t="s">
        <v>177</v>
      </c>
      <c r="G63" s="26"/>
      <c r="H63" s="26"/>
    </row>
    <row r="64" spans="1:8" x14ac:dyDescent="0.25">
      <c r="A64" s="26"/>
      <c r="B64" s="943"/>
      <c r="C64" s="946" t="s">
        <v>875</v>
      </c>
      <c r="D64" s="7" t="s">
        <v>876</v>
      </c>
      <c r="E64" s="9" t="s">
        <v>278</v>
      </c>
      <c r="F64" s="270" t="s">
        <v>175</v>
      </c>
      <c r="G64" s="26"/>
      <c r="H64" s="26"/>
    </row>
    <row r="65" spans="1:8" x14ac:dyDescent="0.25">
      <c r="A65" s="26"/>
      <c r="B65" s="943"/>
      <c r="C65" s="946"/>
      <c r="D65" s="7" t="s">
        <v>877</v>
      </c>
      <c r="E65" s="9" t="s">
        <v>276</v>
      </c>
      <c r="F65" s="276" t="s">
        <v>261</v>
      </c>
      <c r="G65" s="26"/>
      <c r="H65" s="26"/>
    </row>
    <row r="66" spans="1:8" x14ac:dyDescent="0.25">
      <c r="A66" s="26"/>
      <c r="B66" s="943"/>
      <c r="C66" s="7" t="s">
        <v>878</v>
      </c>
      <c r="D66" s="7" t="s">
        <v>879</v>
      </c>
      <c r="E66" s="9" t="s">
        <v>323</v>
      </c>
      <c r="F66" s="274" t="s">
        <v>177</v>
      </c>
      <c r="G66" s="26"/>
      <c r="H66" s="26"/>
    </row>
    <row r="67" spans="1:8" x14ac:dyDescent="0.25">
      <c r="A67" s="26"/>
      <c r="B67" s="943"/>
      <c r="C67" s="7" t="s">
        <v>880</v>
      </c>
      <c r="D67" s="7" t="s">
        <v>881</v>
      </c>
      <c r="E67" s="9" t="s">
        <v>268</v>
      </c>
      <c r="F67" s="270" t="s">
        <v>175</v>
      </c>
      <c r="G67" s="26"/>
      <c r="H67" s="26"/>
    </row>
    <row r="68" spans="1:8" x14ac:dyDescent="0.25">
      <c r="A68" s="26"/>
      <c r="B68" s="943"/>
      <c r="C68" s="946" t="s">
        <v>882</v>
      </c>
      <c r="D68" s="7" t="s">
        <v>883</v>
      </c>
      <c r="E68" s="9" t="s">
        <v>269</v>
      </c>
      <c r="F68" s="270" t="s">
        <v>175</v>
      </c>
      <c r="G68" s="26"/>
      <c r="H68" s="26"/>
    </row>
    <row r="69" spans="1:8" x14ac:dyDescent="0.25">
      <c r="A69" s="26"/>
      <c r="B69" s="943"/>
      <c r="C69" s="946"/>
      <c r="D69" s="7" t="s">
        <v>884</v>
      </c>
      <c r="E69" s="9" t="s">
        <v>270</v>
      </c>
      <c r="F69" s="270" t="s">
        <v>175</v>
      </c>
      <c r="G69" s="26"/>
      <c r="H69" s="26"/>
    </row>
    <row r="70" spans="1:8" x14ac:dyDescent="0.25">
      <c r="A70" s="26"/>
      <c r="B70" s="943"/>
      <c r="C70" s="7" t="s">
        <v>885</v>
      </c>
      <c r="D70" s="7" t="s">
        <v>886</v>
      </c>
      <c r="E70" s="9" t="s">
        <v>267</v>
      </c>
      <c r="F70" s="276" t="s">
        <v>261</v>
      </c>
      <c r="G70" s="26"/>
      <c r="H70" s="26"/>
    </row>
    <row r="71" spans="1:8" x14ac:dyDescent="0.25">
      <c r="A71" s="26"/>
      <c r="B71" s="943"/>
      <c r="C71" s="7" t="s">
        <v>887</v>
      </c>
      <c r="D71" s="7" t="s">
        <v>888</v>
      </c>
      <c r="E71" s="9" t="s">
        <v>253</v>
      </c>
      <c r="F71" s="270" t="s">
        <v>175</v>
      </c>
      <c r="G71" s="26"/>
      <c r="H71" s="26"/>
    </row>
    <row r="72" spans="1:8" x14ac:dyDescent="0.25">
      <c r="A72" s="26"/>
      <c r="B72" s="943"/>
      <c r="C72" s="7" t="s">
        <v>889</v>
      </c>
      <c r="D72" s="7" t="s">
        <v>890</v>
      </c>
      <c r="E72" s="9" t="s">
        <v>273</v>
      </c>
      <c r="F72" s="270" t="s">
        <v>175</v>
      </c>
      <c r="G72" s="26"/>
      <c r="H72" s="26"/>
    </row>
    <row r="73" spans="1:8" x14ac:dyDescent="0.25">
      <c r="A73" s="26"/>
      <c r="B73" s="943"/>
      <c r="C73" s="7" t="s">
        <v>891</v>
      </c>
      <c r="D73" s="7" t="s">
        <v>892</v>
      </c>
      <c r="E73" s="9" t="s">
        <v>260</v>
      </c>
      <c r="F73" s="276" t="s">
        <v>261</v>
      </c>
      <c r="G73" s="26"/>
      <c r="H73" s="26"/>
    </row>
    <row r="74" spans="1:8" x14ac:dyDescent="0.25">
      <c r="A74" s="26"/>
      <c r="B74" s="943"/>
      <c r="C74" s="7" t="s">
        <v>893</v>
      </c>
      <c r="D74" s="7" t="s">
        <v>894</v>
      </c>
      <c r="E74" s="9" t="s">
        <v>271</v>
      </c>
      <c r="F74" s="270" t="s">
        <v>175</v>
      </c>
      <c r="G74" s="26"/>
      <c r="H74" s="26"/>
    </row>
    <row r="75" spans="1:8" x14ac:dyDescent="0.25">
      <c r="A75" s="26"/>
      <c r="B75" s="943"/>
      <c r="C75" s="7" t="s">
        <v>895</v>
      </c>
      <c r="D75" s="7" t="s">
        <v>896</v>
      </c>
      <c r="E75" s="9" t="s">
        <v>324</v>
      </c>
      <c r="F75" s="270" t="s">
        <v>175</v>
      </c>
      <c r="G75" s="26"/>
      <c r="H75" s="26"/>
    </row>
    <row r="76" spans="1:8" x14ac:dyDescent="0.25">
      <c r="A76" s="26"/>
      <c r="B76" s="943"/>
      <c r="C76" s="7" t="s">
        <v>897</v>
      </c>
      <c r="D76" s="7" t="s">
        <v>898</v>
      </c>
      <c r="E76" s="9" t="s">
        <v>80</v>
      </c>
      <c r="F76" s="270" t="s">
        <v>175</v>
      </c>
      <c r="G76" s="26"/>
      <c r="H76" s="26"/>
    </row>
    <row r="77" spans="1:8" x14ac:dyDescent="0.25">
      <c r="A77" s="26"/>
      <c r="B77" s="943"/>
      <c r="C77" s="946" t="s">
        <v>899</v>
      </c>
      <c r="D77" s="7" t="s">
        <v>900</v>
      </c>
      <c r="E77" s="9" t="s">
        <v>274</v>
      </c>
      <c r="F77" s="270" t="s">
        <v>175</v>
      </c>
      <c r="G77" s="26"/>
      <c r="H77" s="26"/>
    </row>
    <row r="78" spans="1:8" x14ac:dyDescent="0.25">
      <c r="A78" s="26"/>
      <c r="B78" s="943"/>
      <c r="C78" s="946"/>
      <c r="D78" s="7" t="s">
        <v>901</v>
      </c>
      <c r="E78" s="9" t="s">
        <v>275</v>
      </c>
      <c r="F78" s="270" t="s">
        <v>175</v>
      </c>
      <c r="G78" s="26"/>
      <c r="H78" s="26"/>
    </row>
    <row r="79" spans="1:8" ht="15.75" thickBot="1" x14ac:dyDescent="0.3">
      <c r="A79" s="26"/>
      <c r="B79" s="944"/>
      <c r="C79" s="258" t="s">
        <v>902</v>
      </c>
      <c r="D79" s="258" t="s">
        <v>903</v>
      </c>
      <c r="E79" s="271" t="s">
        <v>265</v>
      </c>
      <c r="F79" s="280" t="s">
        <v>261</v>
      </c>
      <c r="G79" s="26"/>
      <c r="H79" s="26"/>
    </row>
    <row r="80" spans="1:8" x14ac:dyDescent="0.25">
      <c r="A80" s="26"/>
      <c r="B80" s="942" t="s">
        <v>184</v>
      </c>
      <c r="C80" s="945" t="s">
        <v>904</v>
      </c>
      <c r="D80" s="286" t="s">
        <v>905</v>
      </c>
      <c r="E80" s="268" t="s">
        <v>279</v>
      </c>
      <c r="F80" s="269" t="s">
        <v>175</v>
      </c>
      <c r="G80" s="26"/>
      <c r="H80" s="26"/>
    </row>
    <row r="81" spans="1:8" x14ac:dyDescent="0.25">
      <c r="A81" s="26"/>
      <c r="B81" s="943"/>
      <c r="C81" s="946"/>
      <c r="D81" s="7" t="s">
        <v>906</v>
      </c>
      <c r="E81" s="9" t="s">
        <v>280</v>
      </c>
      <c r="F81" s="274" t="s">
        <v>177</v>
      </c>
      <c r="G81" s="26"/>
      <c r="H81" s="26"/>
    </row>
    <row r="82" spans="1:8" x14ac:dyDescent="0.25">
      <c r="A82" s="26"/>
      <c r="B82" s="943"/>
      <c r="C82" s="7" t="s">
        <v>907</v>
      </c>
      <c r="D82" s="7" t="s">
        <v>908</v>
      </c>
      <c r="E82" s="9" t="s">
        <v>281</v>
      </c>
      <c r="F82" s="274" t="s">
        <v>177</v>
      </c>
      <c r="G82" s="26"/>
      <c r="H82" s="26"/>
    </row>
    <row r="83" spans="1:8" ht="15.75" thickBot="1" x14ac:dyDescent="0.3">
      <c r="A83" s="26"/>
      <c r="B83" s="944"/>
      <c r="C83" s="258" t="s">
        <v>909</v>
      </c>
      <c r="D83" s="258" t="s">
        <v>910</v>
      </c>
      <c r="E83" s="271" t="s">
        <v>282</v>
      </c>
      <c r="F83" s="275" t="s">
        <v>177</v>
      </c>
      <c r="G83" s="26"/>
      <c r="H83" s="26"/>
    </row>
    <row r="84" spans="1:8" x14ac:dyDescent="0.25">
      <c r="A84" s="26"/>
      <c r="B84" s="26"/>
      <c r="C84" s="26"/>
      <c r="D84" s="26"/>
      <c r="E84" s="26"/>
      <c r="F84" s="26"/>
      <c r="G84" s="26"/>
      <c r="H84" s="26"/>
    </row>
    <row r="85" spans="1:8" x14ac:dyDescent="0.25">
      <c r="A85" s="26"/>
      <c r="B85" s="26"/>
      <c r="C85" s="26"/>
      <c r="D85" s="26"/>
      <c r="E85" s="26"/>
      <c r="F85" s="26"/>
      <c r="G85" s="26"/>
      <c r="H85" s="26"/>
    </row>
    <row r="86" spans="1:8" x14ac:dyDescent="0.25">
      <c r="A86" s="26"/>
      <c r="B86" s="26"/>
      <c r="C86" s="26"/>
      <c r="D86" s="26"/>
      <c r="E86" s="26"/>
      <c r="F86" s="26"/>
      <c r="G86" s="26"/>
      <c r="H86" s="26"/>
    </row>
    <row r="87" spans="1:8" x14ac:dyDescent="0.25">
      <c r="A87" s="26"/>
      <c r="B87" s="26"/>
      <c r="C87" s="26"/>
      <c r="D87" s="26"/>
      <c r="E87" s="26"/>
      <c r="F87" s="26"/>
      <c r="G87" s="26"/>
      <c r="H87" s="26"/>
    </row>
    <row r="88" spans="1:8" x14ac:dyDescent="0.25">
      <c r="A88" s="26"/>
      <c r="B88" s="26"/>
      <c r="C88" s="26"/>
      <c r="D88" s="26"/>
      <c r="E88" s="26"/>
      <c r="F88" s="26"/>
      <c r="G88" s="26"/>
      <c r="H88" s="26"/>
    </row>
    <row r="89" spans="1:8" hidden="1" x14ac:dyDescent="0.25">
      <c r="A89" s="26"/>
      <c r="B89" s="26"/>
      <c r="C89" s="26"/>
      <c r="D89" s="26"/>
      <c r="E89" s="26"/>
      <c r="F89" s="26"/>
      <c r="G89" s="26"/>
      <c r="H89" s="26"/>
    </row>
    <row r="90" spans="1:8" hidden="1" x14ac:dyDescent="0.25">
      <c r="A90" s="26"/>
      <c r="B90" s="26"/>
      <c r="C90" s="26"/>
      <c r="D90" s="26"/>
      <c r="E90" s="26"/>
      <c r="F90" s="26"/>
      <c r="G90" s="26"/>
      <c r="H90" s="26"/>
    </row>
    <row r="91" spans="1:8" hidden="1" x14ac:dyDescent="0.25">
      <c r="A91" s="26"/>
      <c r="B91" s="26"/>
      <c r="C91" s="26"/>
      <c r="D91" s="26"/>
      <c r="E91" s="26"/>
      <c r="F91" s="26"/>
      <c r="G91" s="26"/>
      <c r="H91" s="26"/>
    </row>
    <row r="92" spans="1:8" hidden="1" x14ac:dyDescent="0.25">
      <c r="A92" s="26"/>
      <c r="B92" s="26"/>
      <c r="C92" s="26"/>
      <c r="D92" s="26"/>
      <c r="E92" s="26"/>
      <c r="F92" s="26"/>
      <c r="G92" s="26"/>
      <c r="H92" s="26"/>
    </row>
    <row r="93" spans="1:8" hidden="1" x14ac:dyDescent="0.25">
      <c r="A93" s="26"/>
      <c r="B93" s="26"/>
      <c r="C93" s="26"/>
      <c r="D93" s="26"/>
      <c r="E93" s="26"/>
      <c r="F93" s="26"/>
      <c r="G93" s="26"/>
      <c r="H93" s="26"/>
    </row>
    <row r="94" spans="1:8" hidden="1" x14ac:dyDescent="0.25">
      <c r="A94" s="26"/>
      <c r="B94" s="26"/>
      <c r="C94" s="26"/>
      <c r="D94" s="26"/>
      <c r="E94" s="26"/>
      <c r="F94" s="26"/>
      <c r="G94" s="26"/>
      <c r="H94" s="26"/>
    </row>
    <row r="95" spans="1:8" hidden="1" x14ac:dyDescent="0.25">
      <c r="A95" s="26"/>
      <c r="B95" s="26"/>
      <c r="C95" s="26"/>
      <c r="D95" s="26"/>
      <c r="E95" s="26"/>
      <c r="F95" s="26"/>
      <c r="G95" s="26"/>
      <c r="H95" s="26"/>
    </row>
    <row r="96" spans="1:8" hidden="1" x14ac:dyDescent="0.25">
      <c r="A96" s="26"/>
      <c r="B96" s="26"/>
      <c r="C96" s="26"/>
      <c r="D96" s="26"/>
      <c r="E96" s="26"/>
      <c r="F96" s="26"/>
      <c r="G96" s="26"/>
      <c r="H96" s="26"/>
    </row>
    <row r="97" spans="1:8" hidden="1" x14ac:dyDescent="0.25">
      <c r="A97" s="26"/>
      <c r="B97" s="26"/>
      <c r="C97" s="26"/>
      <c r="D97" s="26"/>
      <c r="E97" s="26"/>
      <c r="F97" s="26"/>
      <c r="G97" s="26"/>
      <c r="H97" s="26"/>
    </row>
    <row r="98" spans="1:8" hidden="1" x14ac:dyDescent="0.25">
      <c r="A98" s="26"/>
      <c r="B98" s="26"/>
      <c r="C98" s="26"/>
      <c r="D98" s="26"/>
      <c r="E98" s="26"/>
      <c r="F98" s="26"/>
      <c r="G98" s="26"/>
      <c r="H98" s="26"/>
    </row>
    <row r="99" spans="1:8" hidden="1" x14ac:dyDescent="0.25">
      <c r="A99" s="26"/>
      <c r="B99" s="26"/>
      <c r="C99" s="26"/>
      <c r="D99" s="26"/>
      <c r="E99" s="26"/>
      <c r="F99" s="26"/>
      <c r="G99" s="26"/>
      <c r="H99" s="26"/>
    </row>
    <row r="100" spans="1:8" hidden="1" x14ac:dyDescent="0.25">
      <c r="A100" s="26"/>
      <c r="B100" s="26"/>
      <c r="C100" s="26"/>
      <c r="D100" s="26"/>
      <c r="E100" s="26"/>
      <c r="F100" s="26"/>
      <c r="G100" s="26"/>
      <c r="H100" s="26"/>
    </row>
    <row r="101" spans="1:8" hidden="1" x14ac:dyDescent="0.25">
      <c r="A101" s="26"/>
      <c r="B101" s="26"/>
      <c r="C101" s="26"/>
      <c r="D101" s="26"/>
      <c r="E101" s="26"/>
      <c r="F101" s="26"/>
      <c r="G101" s="26"/>
      <c r="H101" s="26"/>
    </row>
    <row r="102" spans="1:8" hidden="1" x14ac:dyDescent="0.25">
      <c r="A102" s="26"/>
      <c r="B102" s="26"/>
      <c r="C102" s="26"/>
      <c r="D102" s="26"/>
      <c r="E102" s="26"/>
      <c r="F102" s="26"/>
      <c r="G102" s="26"/>
      <c r="H102" s="26"/>
    </row>
    <row r="103" spans="1:8" hidden="1" x14ac:dyDescent="0.25">
      <c r="A103" s="26"/>
      <c r="B103" s="26"/>
      <c r="C103" s="26"/>
      <c r="D103" s="26"/>
      <c r="E103" s="26"/>
      <c r="F103" s="26"/>
      <c r="G103" s="26"/>
      <c r="H103" s="26"/>
    </row>
    <row r="104" spans="1:8" hidden="1" x14ac:dyDescent="0.25">
      <c r="A104" s="26"/>
      <c r="B104" s="26"/>
      <c r="C104" s="26"/>
      <c r="D104" s="26"/>
      <c r="E104" s="26"/>
      <c r="F104" s="26"/>
      <c r="G104" s="26"/>
      <c r="H104" s="26"/>
    </row>
    <row r="105" spans="1:8" hidden="1" x14ac:dyDescent="0.25">
      <c r="A105" s="26"/>
      <c r="B105" s="26"/>
      <c r="C105" s="26"/>
      <c r="D105" s="26"/>
      <c r="E105" s="26"/>
      <c r="F105" s="26"/>
      <c r="G105" s="26"/>
      <c r="H105" s="26"/>
    </row>
    <row r="106" spans="1:8" hidden="1" x14ac:dyDescent="0.25">
      <c r="A106" s="26"/>
      <c r="B106" s="26"/>
      <c r="C106" s="26"/>
      <c r="D106" s="26"/>
      <c r="E106" s="26"/>
      <c r="F106" s="26"/>
      <c r="G106" s="26"/>
      <c r="H106" s="26"/>
    </row>
    <row r="107" spans="1:8" hidden="1" x14ac:dyDescent="0.25">
      <c r="A107" s="26"/>
      <c r="B107" s="26"/>
      <c r="C107" s="26"/>
      <c r="D107" s="26"/>
      <c r="E107" s="26"/>
      <c r="F107" s="26"/>
      <c r="G107" s="26"/>
      <c r="H107" s="26"/>
    </row>
    <row r="108" spans="1:8" hidden="1" x14ac:dyDescent="0.25">
      <c r="A108" s="26"/>
      <c r="B108" s="26"/>
      <c r="C108" s="26"/>
      <c r="D108" s="26"/>
      <c r="E108" s="26"/>
      <c r="F108" s="26"/>
      <c r="G108" s="26"/>
      <c r="H108" s="26"/>
    </row>
    <row r="109" spans="1:8" hidden="1" x14ac:dyDescent="0.25">
      <c r="A109" s="26"/>
      <c r="B109" s="26"/>
      <c r="C109" s="26"/>
      <c r="D109" s="26"/>
      <c r="E109" s="26"/>
      <c r="F109" s="26"/>
      <c r="G109" s="26"/>
      <c r="H109" s="26"/>
    </row>
    <row r="110" spans="1:8" hidden="1" x14ac:dyDescent="0.25">
      <c r="A110" s="26"/>
      <c r="B110" s="26"/>
      <c r="C110" s="26"/>
      <c r="D110" s="26"/>
      <c r="E110" s="26"/>
      <c r="F110" s="26"/>
      <c r="G110" s="26"/>
      <c r="H110" s="26"/>
    </row>
    <row r="111" spans="1:8" hidden="1" x14ac:dyDescent="0.25">
      <c r="A111" s="26"/>
      <c r="B111" s="26"/>
      <c r="C111" s="26"/>
      <c r="D111" s="26"/>
      <c r="E111" s="26"/>
      <c r="F111" s="26"/>
      <c r="G111" s="26"/>
      <c r="H111" s="26"/>
    </row>
    <row r="112" spans="1:8" hidden="1" x14ac:dyDescent="0.25">
      <c r="A112" s="26"/>
      <c r="B112" s="26"/>
      <c r="C112" s="26"/>
      <c r="D112" s="26"/>
      <c r="E112" s="26"/>
      <c r="F112" s="26"/>
      <c r="G112" s="26"/>
      <c r="H112" s="26"/>
    </row>
    <row r="113" spans="1:8" hidden="1" x14ac:dyDescent="0.25">
      <c r="A113" s="26"/>
      <c r="B113" s="26"/>
      <c r="C113" s="26"/>
      <c r="D113" s="26"/>
      <c r="E113" s="26"/>
      <c r="F113" s="26"/>
      <c r="G113" s="26"/>
      <c r="H113" s="26"/>
    </row>
    <row r="114" spans="1:8" hidden="1" x14ac:dyDescent="0.25">
      <c r="A114" s="26"/>
      <c r="B114" s="26"/>
      <c r="C114" s="26"/>
      <c r="D114" s="26"/>
      <c r="E114" s="26"/>
      <c r="F114" s="26"/>
      <c r="G114" s="26"/>
      <c r="H114" s="26"/>
    </row>
    <row r="115" spans="1:8" hidden="1" x14ac:dyDescent="0.25">
      <c r="A115" s="26"/>
      <c r="B115" s="26"/>
      <c r="C115" s="26"/>
      <c r="D115" s="26"/>
      <c r="E115" s="26"/>
      <c r="F115" s="26"/>
      <c r="G115" s="26"/>
      <c r="H115" s="26"/>
    </row>
    <row r="116" spans="1:8" hidden="1" x14ac:dyDescent="0.25">
      <c r="A116" s="26"/>
      <c r="B116" s="26"/>
      <c r="C116" s="26"/>
      <c r="D116" s="26"/>
      <c r="E116" s="26"/>
      <c r="F116" s="26"/>
      <c r="G116" s="26"/>
      <c r="H116" s="26"/>
    </row>
    <row r="117" spans="1:8" hidden="1" x14ac:dyDescent="0.25">
      <c r="A117" s="26"/>
      <c r="B117" s="26"/>
      <c r="C117" s="26"/>
      <c r="D117" s="26"/>
      <c r="E117" s="26"/>
      <c r="F117" s="26"/>
      <c r="G117" s="26"/>
      <c r="H117" s="26"/>
    </row>
    <row r="118" spans="1:8" hidden="1" x14ac:dyDescent="0.25">
      <c r="A118" s="26"/>
      <c r="B118" s="26"/>
      <c r="C118" s="26"/>
      <c r="D118" s="26"/>
      <c r="E118" s="26"/>
      <c r="F118" s="26"/>
      <c r="G118" s="26"/>
      <c r="H118" s="26"/>
    </row>
    <row r="119" spans="1:8" hidden="1" x14ac:dyDescent="0.25">
      <c r="A119" s="26"/>
      <c r="B119" s="26"/>
      <c r="C119" s="26"/>
      <c r="D119" s="26"/>
      <c r="E119" s="26"/>
      <c r="F119" s="26"/>
      <c r="G119" s="26"/>
      <c r="H119" s="26"/>
    </row>
    <row r="120" spans="1:8" hidden="1" x14ac:dyDescent="0.25">
      <c r="A120" s="26"/>
      <c r="B120" s="26"/>
      <c r="C120" s="26"/>
      <c r="D120" s="26"/>
      <c r="E120" s="26"/>
      <c r="F120" s="26"/>
      <c r="G120" s="26"/>
      <c r="H120" s="26"/>
    </row>
    <row r="121" spans="1:8" hidden="1" x14ac:dyDescent="0.25">
      <c r="A121" s="26"/>
      <c r="B121" s="26"/>
      <c r="C121" s="26"/>
      <c r="D121" s="26"/>
      <c r="E121" s="26"/>
      <c r="F121" s="26"/>
      <c r="G121" s="26"/>
      <c r="H121" s="26"/>
    </row>
    <row r="122" spans="1:8" hidden="1" x14ac:dyDescent="0.25">
      <c r="A122" s="26"/>
      <c r="B122" s="26"/>
      <c r="C122" s="26"/>
      <c r="D122" s="26"/>
      <c r="E122" s="26"/>
      <c r="F122" s="26"/>
      <c r="G122" s="26"/>
      <c r="H122" s="26"/>
    </row>
    <row r="123" spans="1:8" hidden="1" x14ac:dyDescent="0.25">
      <c r="A123" s="26"/>
      <c r="B123" s="26"/>
      <c r="C123" s="26"/>
      <c r="D123" s="26"/>
      <c r="E123" s="26"/>
      <c r="F123" s="26"/>
      <c r="G123" s="26"/>
      <c r="H123" s="26"/>
    </row>
    <row r="124" spans="1:8" hidden="1" x14ac:dyDescent="0.25">
      <c r="A124" s="26"/>
      <c r="B124" s="26"/>
      <c r="C124" s="26"/>
      <c r="D124" s="26"/>
      <c r="E124" s="26"/>
      <c r="F124" s="26"/>
      <c r="G124" s="26"/>
      <c r="H124" s="26"/>
    </row>
    <row r="125" spans="1:8" hidden="1" x14ac:dyDescent="0.25">
      <c r="A125" s="26"/>
      <c r="B125" s="26"/>
      <c r="C125" s="26"/>
      <c r="D125" s="26"/>
      <c r="E125" s="26"/>
      <c r="F125" s="26"/>
      <c r="G125" s="26"/>
      <c r="H125" s="26"/>
    </row>
    <row r="126" spans="1:8" hidden="1" x14ac:dyDescent="0.25">
      <c r="A126" s="26"/>
      <c r="B126" s="26"/>
      <c r="C126" s="26"/>
      <c r="D126" s="26"/>
      <c r="E126" s="26"/>
      <c r="F126" s="26"/>
      <c r="G126" s="26"/>
      <c r="H126" s="26"/>
    </row>
    <row r="127" spans="1:8" hidden="1" x14ac:dyDescent="0.25">
      <c r="A127" s="26"/>
      <c r="B127" s="26"/>
      <c r="C127" s="26"/>
      <c r="D127" s="26"/>
      <c r="E127" s="26"/>
      <c r="F127" s="26"/>
      <c r="G127" s="26"/>
      <c r="H127" s="26"/>
    </row>
    <row r="128" spans="1:8" hidden="1" x14ac:dyDescent="0.25">
      <c r="A128" s="26"/>
      <c r="B128" s="26"/>
      <c r="C128" s="26"/>
      <c r="D128" s="26"/>
      <c r="E128" s="26"/>
      <c r="F128" s="26"/>
      <c r="G128" s="26"/>
      <c r="H128" s="26"/>
    </row>
    <row r="129" spans="1:8" hidden="1" x14ac:dyDescent="0.25">
      <c r="A129" s="26"/>
      <c r="B129" s="26"/>
      <c r="C129" s="26"/>
      <c r="D129" s="26"/>
      <c r="E129" s="26"/>
      <c r="F129" s="26"/>
      <c r="G129" s="26"/>
      <c r="H129" s="26"/>
    </row>
    <row r="130" spans="1:8" hidden="1" x14ac:dyDescent="0.25">
      <c r="A130" s="26"/>
      <c r="B130" s="26"/>
      <c r="C130" s="26"/>
      <c r="D130" s="26"/>
      <c r="E130" s="26"/>
      <c r="F130" s="26"/>
      <c r="G130" s="26"/>
      <c r="H130" s="26"/>
    </row>
    <row r="131" spans="1:8" hidden="1" x14ac:dyDescent="0.25">
      <c r="A131" s="26"/>
      <c r="B131" s="26"/>
      <c r="C131" s="26"/>
      <c r="D131" s="26"/>
      <c r="E131" s="26"/>
      <c r="F131" s="26"/>
      <c r="G131" s="26"/>
      <c r="H131" s="26"/>
    </row>
    <row r="132" spans="1:8" hidden="1" x14ac:dyDescent="0.25">
      <c r="A132" s="26"/>
      <c r="B132" s="26"/>
      <c r="C132" s="26"/>
      <c r="D132" s="26"/>
      <c r="E132" s="26"/>
      <c r="F132" s="26"/>
      <c r="G132" s="26"/>
      <c r="H132" s="26"/>
    </row>
    <row r="133" spans="1:8" hidden="1" x14ac:dyDescent="0.25">
      <c r="A133" s="26"/>
      <c r="B133" s="26"/>
      <c r="C133" s="26"/>
      <c r="D133" s="26"/>
      <c r="E133" s="26"/>
      <c r="F133" s="26"/>
      <c r="G133" s="26"/>
      <c r="H133" s="26"/>
    </row>
    <row r="134" spans="1:8" hidden="1" x14ac:dyDescent="0.25">
      <c r="A134" s="26"/>
      <c r="B134" s="26"/>
      <c r="C134" s="26"/>
      <c r="D134" s="26"/>
      <c r="E134" s="26"/>
      <c r="F134" s="26"/>
      <c r="G134" s="26"/>
      <c r="H134" s="26"/>
    </row>
    <row r="135" spans="1:8" hidden="1" x14ac:dyDescent="0.25">
      <c r="A135" s="26"/>
      <c r="B135" s="26"/>
      <c r="C135" s="26"/>
      <c r="D135" s="26"/>
      <c r="E135" s="26"/>
      <c r="F135" s="26"/>
      <c r="G135" s="26"/>
      <c r="H135" s="26"/>
    </row>
    <row r="136" spans="1:8" hidden="1" x14ac:dyDescent="0.25">
      <c r="A136" s="26"/>
      <c r="B136" s="26"/>
      <c r="C136" s="26"/>
      <c r="D136" s="26"/>
      <c r="E136" s="26"/>
      <c r="F136" s="26"/>
      <c r="G136" s="26"/>
      <c r="H136" s="26"/>
    </row>
    <row r="137" spans="1:8" hidden="1" x14ac:dyDescent="0.25">
      <c r="A137" s="26"/>
      <c r="B137" s="26"/>
      <c r="C137" s="26"/>
      <c r="D137" s="26"/>
      <c r="E137" s="26"/>
      <c r="F137" s="26"/>
      <c r="G137" s="26"/>
      <c r="H137" s="26"/>
    </row>
    <row r="138" spans="1:8" hidden="1" x14ac:dyDescent="0.25">
      <c r="A138" s="26"/>
      <c r="B138" s="26"/>
      <c r="C138" s="26"/>
      <c r="D138" s="26"/>
      <c r="E138" s="26"/>
      <c r="F138" s="26"/>
      <c r="G138" s="26"/>
      <c r="H138" s="26"/>
    </row>
    <row r="139" spans="1:8" hidden="1" x14ac:dyDescent="0.25">
      <c r="A139" s="26"/>
      <c r="B139" s="26"/>
      <c r="C139" s="26"/>
      <c r="D139" s="26"/>
      <c r="E139" s="26"/>
      <c r="F139" s="26"/>
      <c r="G139" s="26"/>
      <c r="H139" s="26"/>
    </row>
    <row r="140" spans="1:8" hidden="1" x14ac:dyDescent="0.25">
      <c r="A140" s="26"/>
      <c r="B140" s="26"/>
      <c r="C140" s="26"/>
      <c r="D140" s="26"/>
      <c r="E140" s="26"/>
      <c r="F140" s="26"/>
      <c r="G140" s="26"/>
      <c r="H140" s="26"/>
    </row>
    <row r="141" spans="1:8" hidden="1" x14ac:dyDescent="0.25">
      <c r="A141" s="26"/>
      <c r="B141" s="26"/>
      <c r="C141" s="26"/>
      <c r="D141" s="26"/>
      <c r="E141" s="26"/>
      <c r="F141" s="26"/>
      <c r="G141" s="26"/>
      <c r="H141" s="26"/>
    </row>
    <row r="142" spans="1:8" hidden="1" x14ac:dyDescent="0.25">
      <c r="A142" s="26"/>
      <c r="B142" s="26"/>
      <c r="C142" s="26"/>
      <c r="D142" s="26"/>
      <c r="E142" s="26"/>
      <c r="F142" s="26"/>
      <c r="G142" s="26"/>
      <c r="H142" s="26"/>
    </row>
    <row r="143" spans="1:8" hidden="1" x14ac:dyDescent="0.25">
      <c r="A143" s="26"/>
      <c r="B143" s="26"/>
      <c r="C143" s="26"/>
      <c r="D143" s="26"/>
      <c r="E143" s="26"/>
      <c r="F143" s="26"/>
      <c r="G143" s="26"/>
      <c r="H143" s="26"/>
    </row>
    <row r="144" spans="1:8" hidden="1" x14ac:dyDescent="0.25">
      <c r="A144" s="26"/>
      <c r="B144" s="26"/>
      <c r="C144" s="26"/>
      <c r="D144" s="26"/>
      <c r="E144" s="26"/>
      <c r="F144" s="26"/>
      <c r="G144" s="26"/>
      <c r="H144" s="26"/>
    </row>
    <row r="145" spans="1:8" hidden="1" x14ac:dyDescent="0.25">
      <c r="A145" s="26"/>
      <c r="B145" s="26"/>
      <c r="C145" s="26"/>
      <c r="D145" s="26"/>
      <c r="E145" s="26"/>
      <c r="F145" s="26"/>
      <c r="G145" s="26"/>
      <c r="H145" s="26"/>
    </row>
    <row r="146" spans="1:8" hidden="1" x14ac:dyDescent="0.25">
      <c r="A146" s="26"/>
      <c r="B146" s="26"/>
      <c r="C146" s="26"/>
      <c r="D146" s="26"/>
      <c r="E146" s="26"/>
      <c r="F146" s="26"/>
      <c r="G146" s="26"/>
      <c r="H146" s="26"/>
    </row>
    <row r="147" spans="1:8" hidden="1" x14ac:dyDescent="0.25">
      <c r="A147" s="26"/>
      <c r="B147" s="26"/>
      <c r="C147" s="26"/>
      <c r="D147" s="26"/>
      <c r="E147" s="26"/>
      <c r="F147" s="26"/>
      <c r="G147" s="26"/>
      <c r="H147" s="26"/>
    </row>
    <row r="148" spans="1:8" hidden="1" x14ac:dyDescent="0.25">
      <c r="A148" s="26"/>
      <c r="B148" s="26"/>
      <c r="C148" s="26"/>
      <c r="D148" s="26"/>
      <c r="E148" s="26"/>
      <c r="F148" s="26"/>
      <c r="G148" s="26"/>
      <c r="H148" s="26"/>
    </row>
    <row r="149" spans="1:8" hidden="1" x14ac:dyDescent="0.25">
      <c r="A149" s="26"/>
      <c r="B149" s="26"/>
      <c r="C149" s="26"/>
      <c r="D149" s="26"/>
      <c r="E149" s="26"/>
      <c r="F149" s="26"/>
      <c r="G149" s="26"/>
      <c r="H149" s="26"/>
    </row>
    <row r="150" spans="1:8" hidden="1" x14ac:dyDescent="0.25">
      <c r="A150" s="26"/>
      <c r="B150" s="26"/>
      <c r="C150" s="26"/>
      <c r="D150" s="26"/>
      <c r="E150" s="26"/>
      <c r="F150" s="26"/>
      <c r="G150" s="26"/>
      <c r="H150" s="26"/>
    </row>
    <row r="151" spans="1:8" hidden="1" x14ac:dyDescent="0.25">
      <c r="A151" s="26"/>
      <c r="B151" s="26"/>
      <c r="C151" s="26"/>
    </row>
    <row r="152" spans="1:8" hidden="1" x14ac:dyDescent="0.25">
      <c r="A152" s="26"/>
      <c r="B152" s="26"/>
      <c r="C152" s="26"/>
    </row>
    <row r="153" spans="1:8" hidden="1" x14ac:dyDescent="0.25">
      <c r="A153" s="26"/>
      <c r="B153" s="26"/>
      <c r="C153" s="26"/>
    </row>
    <row r="154" spans="1:8" hidden="1" x14ac:dyDescent="0.25">
      <c r="A154" s="26"/>
      <c r="B154" s="26"/>
      <c r="C154" s="26"/>
    </row>
    <row r="155" spans="1:8" hidden="1" x14ac:dyDescent="0.25">
      <c r="A155" s="26"/>
      <c r="B155" s="26"/>
      <c r="C155" s="26"/>
    </row>
    <row r="156" spans="1:8" hidden="1" x14ac:dyDescent="0.25">
      <c r="A156" s="26"/>
      <c r="B156" s="26"/>
      <c r="C156" s="26"/>
    </row>
    <row r="157" spans="1:8" hidden="1" x14ac:dyDescent="0.25">
      <c r="A157" s="26"/>
      <c r="B157" s="26"/>
      <c r="C157" s="26"/>
    </row>
  </sheetData>
  <sheetProtection algorithmName="SHA-512" hashValue="EmqrClNIRDnSxrV/2MQgHeJifKtVm0+/6N01XW+bfpiDhMztKlscttsSL6HPPG2Uwv0GS+6K/y971SbZpwRhVg==" saltValue="dWdqNwtSu44KuHj9+KImXQ==" spinCount="100000" sheet="1" autoFilter="0"/>
  <autoFilter ref="B2:F83" xr:uid="{F4E88DCA-BBF0-448D-8F1A-DC56AA886802}"/>
  <mergeCells count="22">
    <mergeCell ref="B42:B51"/>
    <mergeCell ref="B4:B14"/>
    <mergeCell ref="C4:C7"/>
    <mergeCell ref="C8:C12"/>
    <mergeCell ref="B15:B19"/>
    <mergeCell ref="C17:C19"/>
    <mergeCell ref="B20:B27"/>
    <mergeCell ref="C21:C27"/>
    <mergeCell ref="B28:B38"/>
    <mergeCell ref="C28:C30"/>
    <mergeCell ref="C31:C33"/>
    <mergeCell ref="C35:C38"/>
    <mergeCell ref="B39:B41"/>
    <mergeCell ref="B80:B83"/>
    <mergeCell ref="C80:C81"/>
    <mergeCell ref="B52:B53"/>
    <mergeCell ref="B54:B56"/>
    <mergeCell ref="B57:B58"/>
    <mergeCell ref="B59:B79"/>
    <mergeCell ref="C64:C65"/>
    <mergeCell ref="C68:C69"/>
    <mergeCell ref="C77:C7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C1FC-599F-4926-A32A-1E367FA2FBD2}">
  <sheetPr codeName="Sheet6">
    <tabColor theme="0" tint="-0.249977111117893"/>
    <pageSetUpPr fitToPage="1"/>
  </sheetPr>
  <dimension ref="A1:K39"/>
  <sheetViews>
    <sheetView showRowColHeaders="0" topLeftCell="A8" zoomScale="70" zoomScaleNormal="70" workbookViewId="0">
      <selection activeCell="E15" sqref="E15:I15"/>
    </sheetView>
  </sheetViews>
  <sheetFormatPr defaultColWidth="0" defaultRowHeight="0" customHeight="1" zeroHeight="1" x14ac:dyDescent="0.25"/>
  <cols>
    <col min="1" max="1" width="4.5703125" customWidth="1"/>
    <col min="2" max="3" width="39.28515625" customWidth="1"/>
    <col min="4" max="4" width="70.85546875" customWidth="1"/>
    <col min="5" max="5" width="6" customWidth="1"/>
    <col min="6" max="6" width="13.7109375" customWidth="1"/>
    <col min="7" max="10" width="8.85546875" customWidth="1"/>
    <col min="11" max="16384" width="8.85546875" hidden="1"/>
  </cols>
  <sheetData>
    <row r="1" spans="1:11" ht="15.75" thickBot="1" x14ac:dyDescent="0.3">
      <c r="A1" s="26"/>
      <c r="B1" s="26"/>
      <c r="C1" s="26"/>
      <c r="D1" s="26"/>
      <c r="E1" s="26"/>
      <c r="F1" s="26"/>
      <c r="G1" s="26"/>
      <c r="H1" s="26"/>
      <c r="I1" s="26"/>
      <c r="J1" s="26"/>
      <c r="K1" s="26"/>
    </row>
    <row r="2" spans="1:11" ht="32.450000000000003" customHeight="1" thickBot="1" x14ac:dyDescent="0.3">
      <c r="A2" s="26"/>
      <c r="B2" s="566" t="s">
        <v>7</v>
      </c>
      <c r="C2" s="567"/>
      <c r="D2" s="294" t="s">
        <v>8</v>
      </c>
      <c r="E2" s="41"/>
      <c r="F2" s="26"/>
      <c r="G2" s="26"/>
      <c r="H2" s="26"/>
      <c r="I2" s="26"/>
      <c r="J2" s="26"/>
      <c r="K2" s="26"/>
    </row>
    <row r="3" spans="1:11" ht="42" customHeight="1" x14ac:dyDescent="0.25">
      <c r="A3" s="26"/>
      <c r="B3" s="561" t="s">
        <v>9</v>
      </c>
      <c r="C3" s="562"/>
      <c r="D3" s="32" t="s">
        <v>1017</v>
      </c>
      <c r="E3" s="26"/>
      <c r="F3" s="26"/>
      <c r="G3" s="26"/>
      <c r="H3" s="26"/>
      <c r="I3" s="26"/>
      <c r="J3" s="26"/>
      <c r="K3" s="26"/>
    </row>
    <row r="4" spans="1:11" ht="42" customHeight="1" x14ac:dyDescent="0.25">
      <c r="A4" s="26"/>
      <c r="B4" s="559" t="s">
        <v>10</v>
      </c>
      <c r="C4" s="560"/>
      <c r="D4" s="33" t="s">
        <v>1018</v>
      </c>
      <c r="E4" s="26"/>
      <c r="F4" s="26"/>
      <c r="G4" s="26"/>
      <c r="H4" s="26"/>
      <c r="I4" s="26"/>
      <c r="J4" s="26"/>
      <c r="K4" s="26"/>
    </row>
    <row r="5" spans="1:11" ht="42" customHeight="1" x14ac:dyDescent="0.25">
      <c r="A5" s="26"/>
      <c r="B5" s="559" t="s">
        <v>11</v>
      </c>
      <c r="C5" s="560"/>
      <c r="D5" s="33" t="s">
        <v>1019</v>
      </c>
      <c r="E5" s="26"/>
      <c r="F5" s="26"/>
      <c r="G5" s="26"/>
      <c r="H5" s="26"/>
      <c r="I5" s="26"/>
      <c r="J5" s="26"/>
      <c r="K5" s="26"/>
    </row>
    <row r="6" spans="1:11" ht="42" customHeight="1" x14ac:dyDescent="0.25">
      <c r="A6" s="26"/>
      <c r="B6" s="559" t="s">
        <v>12</v>
      </c>
      <c r="C6" s="560"/>
      <c r="D6" s="33" t="s">
        <v>373</v>
      </c>
      <c r="E6" s="26"/>
      <c r="F6" s="26"/>
      <c r="G6" s="26"/>
      <c r="H6" s="26"/>
      <c r="I6" s="26"/>
      <c r="J6" s="26"/>
      <c r="K6" s="26"/>
    </row>
    <row r="7" spans="1:11" ht="42" customHeight="1" x14ac:dyDescent="0.25">
      <c r="A7" s="26"/>
      <c r="B7" s="559" t="s">
        <v>13</v>
      </c>
      <c r="C7" s="560"/>
      <c r="D7" s="33"/>
      <c r="E7" s="26"/>
      <c r="F7" s="26"/>
      <c r="G7" s="26"/>
      <c r="H7" s="26"/>
      <c r="I7" s="26"/>
      <c r="J7" s="26"/>
      <c r="K7" s="26"/>
    </row>
    <row r="8" spans="1:11" ht="42" customHeight="1" x14ac:dyDescent="0.25">
      <c r="A8" s="26"/>
      <c r="B8" s="559" t="s">
        <v>14</v>
      </c>
      <c r="C8" s="560"/>
      <c r="D8" s="33" t="s">
        <v>1020</v>
      </c>
      <c r="E8" s="26"/>
      <c r="F8" s="26"/>
      <c r="G8" s="26"/>
      <c r="H8" s="26"/>
      <c r="I8" s="26"/>
      <c r="J8" s="26"/>
      <c r="K8" s="26"/>
    </row>
    <row r="9" spans="1:11" ht="42" customHeight="1" x14ac:dyDescent="0.25">
      <c r="A9" s="26"/>
      <c r="B9" s="559" t="s">
        <v>15</v>
      </c>
      <c r="C9" s="560"/>
      <c r="D9" s="323">
        <v>45351</v>
      </c>
      <c r="E9" s="26"/>
      <c r="F9" s="26"/>
      <c r="G9" s="26"/>
      <c r="H9" s="26"/>
      <c r="I9" s="26"/>
      <c r="J9" s="26"/>
      <c r="K9" s="26"/>
    </row>
    <row r="10" spans="1:11" ht="42" customHeight="1" x14ac:dyDescent="0.25">
      <c r="A10" s="26"/>
      <c r="B10" s="559" t="s">
        <v>16</v>
      </c>
      <c r="C10" s="560"/>
      <c r="D10" s="33" t="s">
        <v>1021</v>
      </c>
      <c r="E10" s="26"/>
      <c r="F10" s="26"/>
      <c r="G10" s="26"/>
      <c r="H10" s="26"/>
      <c r="I10" s="26"/>
      <c r="J10" s="26"/>
      <c r="K10" s="26"/>
    </row>
    <row r="11" spans="1:11" ht="42" customHeight="1" thickBot="1" x14ac:dyDescent="0.3">
      <c r="A11" s="26"/>
      <c r="B11" s="563" t="s">
        <v>17</v>
      </c>
      <c r="C11" s="564"/>
      <c r="D11" s="222" t="s">
        <v>1022</v>
      </c>
      <c r="E11" s="26"/>
      <c r="F11" s="26"/>
      <c r="G11" s="26"/>
      <c r="H11" s="26"/>
      <c r="I11" s="26"/>
      <c r="J11" s="26"/>
      <c r="K11" s="26"/>
    </row>
    <row r="12" spans="1:11" ht="42" customHeight="1" thickBot="1" x14ac:dyDescent="0.55000000000000004">
      <c r="A12" s="26"/>
      <c r="B12" s="57" t="s">
        <v>18</v>
      </c>
      <c r="C12" s="151"/>
      <c r="D12" s="152"/>
      <c r="E12" s="26"/>
      <c r="F12" s="26"/>
      <c r="G12" s="26"/>
      <c r="H12" s="26"/>
      <c r="I12" s="26"/>
      <c r="J12" s="26"/>
      <c r="K12" s="26"/>
    </row>
    <row r="13" spans="1:11" ht="42" customHeight="1" x14ac:dyDescent="0.25">
      <c r="A13" s="26"/>
      <c r="B13" s="554" t="s">
        <v>19</v>
      </c>
      <c r="C13" s="153" t="s">
        <v>975</v>
      </c>
      <c r="D13" s="34">
        <v>10</v>
      </c>
      <c r="E13" s="557" t="str">
        <f>IF(D13&lt;10,"Caution - % target reduced below default",IF(D13&gt;10,"Caution -Target increased above default",""))</f>
        <v/>
      </c>
      <c r="F13" s="558"/>
      <c r="G13" s="558"/>
      <c r="H13" s="558"/>
      <c r="I13" s="558"/>
      <c r="J13" s="26"/>
      <c r="K13" s="26"/>
    </row>
    <row r="14" spans="1:11" ht="42" customHeight="1" x14ac:dyDescent="0.25">
      <c r="A14" s="26"/>
      <c r="B14" s="555"/>
      <c r="C14" s="154" t="s">
        <v>976</v>
      </c>
      <c r="D14" s="35">
        <v>10</v>
      </c>
      <c r="E14" s="557" t="str">
        <f>IF(D14&lt;10,"Caution - % target reduced below default",IF(D14&gt;10,"Caution -Target increased above default",""))</f>
        <v/>
      </c>
      <c r="F14" s="558"/>
      <c r="G14" s="558"/>
      <c r="H14" s="558"/>
      <c r="I14" s="558"/>
      <c r="J14" s="26"/>
      <c r="K14" s="26"/>
    </row>
    <row r="15" spans="1:11" ht="42" customHeight="1" thickBot="1" x14ac:dyDescent="0.3">
      <c r="A15" s="26"/>
      <c r="B15" s="556"/>
      <c r="C15" s="155" t="s">
        <v>977</v>
      </c>
      <c r="D15" s="36">
        <v>10</v>
      </c>
      <c r="E15" s="557" t="str">
        <f>IF(D15&lt;10,"Caution - % target reduced below default",IF(D15&gt;10,"Caution -Target increased above default",""))</f>
        <v/>
      </c>
      <c r="F15" s="558"/>
      <c r="G15" s="558"/>
      <c r="H15" s="558"/>
      <c r="I15" s="558"/>
      <c r="J15" s="26"/>
      <c r="K15" s="26"/>
    </row>
    <row r="16" spans="1:11" ht="36.6" customHeight="1" thickBot="1" x14ac:dyDescent="0.3">
      <c r="A16" s="26"/>
      <c r="B16" s="159"/>
      <c r="C16" s="159"/>
      <c r="D16" s="159"/>
      <c r="E16" s="26"/>
      <c r="F16" s="26"/>
      <c r="G16" s="26"/>
      <c r="H16" s="26"/>
      <c r="I16" s="26"/>
      <c r="J16" s="26"/>
      <c r="K16" s="26"/>
    </row>
    <row r="17" spans="1:11" ht="40.9" customHeight="1" x14ac:dyDescent="0.25">
      <c r="A17" s="26"/>
      <c r="B17" s="554" t="s">
        <v>20</v>
      </c>
      <c r="C17" s="153" t="s">
        <v>978</v>
      </c>
      <c r="D17" s="34">
        <v>0</v>
      </c>
      <c r="E17" s="552" t="str">
        <f>IF(D17=0,"","Unit increase Targets must be agreed with LPA")</f>
        <v/>
      </c>
      <c r="F17" s="552"/>
      <c r="G17" s="552"/>
      <c r="H17" s="552"/>
      <c r="I17" s="552"/>
      <c r="J17" s="26"/>
      <c r="K17" s="26"/>
    </row>
    <row r="18" spans="1:11" ht="40.9" customHeight="1" x14ac:dyDescent="0.25">
      <c r="A18" s="26"/>
      <c r="B18" s="555"/>
      <c r="C18" s="154" t="s">
        <v>979</v>
      </c>
      <c r="D18" s="35">
        <v>0</v>
      </c>
      <c r="E18" s="553" t="str">
        <f>IF(D18=0,"","Unit increase Targets must be agreed with LPA")</f>
        <v/>
      </c>
      <c r="F18" s="552"/>
      <c r="G18" s="552"/>
      <c r="H18" s="552"/>
      <c r="I18" s="552"/>
      <c r="J18" s="26"/>
      <c r="K18" s="26"/>
    </row>
    <row r="19" spans="1:11" ht="40.9" customHeight="1" thickBot="1" x14ac:dyDescent="0.3">
      <c r="A19" s="26"/>
      <c r="B19" s="556"/>
      <c r="C19" s="155" t="s">
        <v>980</v>
      </c>
      <c r="D19" s="36">
        <v>0</v>
      </c>
      <c r="E19" s="553" t="str">
        <f>IF(D19=0,"","Unit increase Targets must be agreed with LPA")</f>
        <v/>
      </c>
      <c r="F19" s="552"/>
      <c r="G19" s="552"/>
      <c r="H19" s="552"/>
      <c r="I19" s="552"/>
      <c r="J19" s="26"/>
      <c r="K19" s="26"/>
    </row>
    <row r="20" spans="1:11" ht="23.45" customHeight="1" x14ac:dyDescent="0.25">
      <c r="A20" s="26"/>
      <c r="B20" s="26"/>
      <c r="C20" s="26"/>
      <c r="D20" s="26"/>
      <c r="E20" s="159"/>
      <c r="F20" s="159"/>
      <c r="G20" s="159"/>
      <c r="H20" s="159"/>
      <c r="I20" s="159"/>
      <c r="J20" s="26"/>
      <c r="K20" s="26"/>
    </row>
    <row r="21" spans="1:11" ht="34.15" customHeight="1" thickBot="1" x14ac:dyDescent="0.3">
      <c r="A21" s="26"/>
      <c r="B21" s="565" t="s">
        <v>21</v>
      </c>
      <c r="C21" s="565"/>
      <c r="D21" s="565"/>
      <c r="E21" s="159"/>
      <c r="F21" s="159"/>
      <c r="G21" s="159"/>
      <c r="H21" s="159"/>
      <c r="I21" s="159"/>
      <c r="J21" s="26"/>
      <c r="K21" s="26"/>
    </row>
    <row r="22" spans="1:11" ht="40.9" customHeight="1" x14ac:dyDescent="0.25">
      <c r="A22" s="26"/>
      <c r="B22" s="561" t="s">
        <v>22</v>
      </c>
      <c r="C22" s="562"/>
      <c r="D22" s="32"/>
      <c r="E22" s="159"/>
      <c r="F22" s="159"/>
      <c r="G22" s="159"/>
      <c r="H22" s="159"/>
      <c r="I22" s="159"/>
      <c r="J22" s="26"/>
      <c r="K22" s="26"/>
    </row>
    <row r="23" spans="1:11" ht="40.9" customHeight="1" thickBot="1" x14ac:dyDescent="0.3">
      <c r="A23" s="26"/>
      <c r="B23" s="563" t="s">
        <v>23</v>
      </c>
      <c r="C23" s="564"/>
      <c r="D23" s="324"/>
      <c r="E23" s="159"/>
      <c r="F23" s="159"/>
      <c r="G23" s="159"/>
      <c r="H23" s="159"/>
      <c r="I23" s="159"/>
      <c r="J23" s="26"/>
      <c r="K23" s="26"/>
    </row>
    <row r="24" spans="1:11" ht="40.9" customHeight="1" x14ac:dyDescent="0.25">
      <c r="A24" s="26"/>
      <c r="B24" s="26"/>
      <c r="C24" s="26"/>
      <c r="D24" s="26"/>
      <c r="E24" s="26"/>
      <c r="F24" s="216"/>
      <c r="G24" s="216"/>
      <c r="H24" s="216"/>
      <c r="I24" s="216"/>
      <c r="J24" s="26"/>
      <c r="K24" s="26"/>
    </row>
    <row r="25" spans="1:11" ht="40.9" hidden="1" customHeight="1" x14ac:dyDescent="0.25">
      <c r="A25" s="26"/>
      <c r="B25" s="26"/>
      <c r="C25" s="26"/>
      <c r="D25" s="26"/>
      <c r="E25" s="26"/>
      <c r="F25" s="216"/>
      <c r="G25" s="216"/>
      <c r="H25" s="216"/>
      <c r="I25" s="216"/>
      <c r="J25" s="26"/>
      <c r="K25" s="26"/>
    </row>
    <row r="26" spans="1:11" ht="40.9" hidden="1" customHeight="1" x14ac:dyDescent="0.25">
      <c r="A26" s="26"/>
      <c r="B26" s="26"/>
      <c r="C26" s="26"/>
      <c r="D26" s="26"/>
      <c r="E26" s="26"/>
      <c r="F26" s="216"/>
      <c r="G26" s="216"/>
      <c r="H26" s="216"/>
      <c r="I26" s="216"/>
      <c r="J26" s="26"/>
      <c r="K26" s="26"/>
    </row>
    <row r="27" spans="1:11" ht="40.9" hidden="1" customHeight="1" x14ac:dyDescent="0.25">
      <c r="A27" s="26"/>
      <c r="B27" s="26"/>
      <c r="C27" s="26"/>
      <c r="D27" s="26"/>
      <c r="E27" s="26"/>
      <c r="F27" s="216"/>
      <c r="G27" s="216"/>
      <c r="H27" s="216"/>
      <c r="I27" s="216"/>
      <c r="J27" s="26"/>
      <c r="K27" s="26"/>
    </row>
    <row r="28" spans="1:11" ht="36.6" hidden="1" customHeight="1" x14ac:dyDescent="0.25">
      <c r="A28" s="26"/>
      <c r="B28" s="26"/>
      <c r="C28" s="26"/>
      <c r="D28" s="26"/>
      <c r="E28" s="26"/>
      <c r="F28" s="26"/>
      <c r="G28" s="26"/>
      <c r="H28" s="26"/>
      <c r="I28" s="26"/>
      <c r="J28" s="26"/>
      <c r="K28" s="26"/>
    </row>
    <row r="29" spans="1:11" ht="14.45" hidden="1" customHeight="1" x14ac:dyDescent="0.25">
      <c r="A29" s="26"/>
      <c r="B29" s="26"/>
      <c r="C29" s="26"/>
      <c r="D29" s="26"/>
      <c r="E29" s="26"/>
      <c r="F29" s="26"/>
      <c r="G29" s="26"/>
      <c r="H29" s="26"/>
      <c r="I29" s="26"/>
      <c r="J29" s="26"/>
      <c r="K29" s="26"/>
    </row>
    <row r="30" spans="1:11" ht="14.45" hidden="1" customHeight="1" x14ac:dyDescent="0.25">
      <c r="A30" s="26"/>
      <c r="B30" s="26"/>
      <c r="C30" s="26"/>
      <c r="D30" s="26"/>
      <c r="E30" s="26"/>
      <c r="F30" s="26"/>
      <c r="G30" s="26"/>
      <c r="H30" s="26"/>
      <c r="I30" s="26"/>
      <c r="J30" s="26"/>
      <c r="K30" s="26"/>
    </row>
    <row r="31" spans="1:11" ht="14.45" hidden="1" customHeight="1" x14ac:dyDescent="0.25">
      <c r="A31" s="26"/>
      <c r="B31" s="26"/>
      <c r="C31" s="26"/>
      <c r="D31" s="26"/>
      <c r="E31" s="26"/>
      <c r="F31" s="26"/>
      <c r="G31" s="26"/>
      <c r="H31" s="26"/>
      <c r="I31" s="26"/>
      <c r="J31" s="26"/>
      <c r="K31" s="26"/>
    </row>
    <row r="32" spans="1:11" ht="14.45" hidden="1" customHeight="1" x14ac:dyDescent="0.25">
      <c r="A32" s="26"/>
      <c r="B32" s="26"/>
      <c r="C32" s="26"/>
      <c r="D32" s="26"/>
      <c r="E32" s="26"/>
      <c r="F32" s="26"/>
      <c r="G32" s="26"/>
      <c r="H32" s="26"/>
      <c r="I32" s="26"/>
      <c r="J32" s="26"/>
      <c r="K32" s="26"/>
    </row>
    <row r="33" spans="1:11" ht="15" hidden="1" customHeight="1" x14ac:dyDescent="0.25">
      <c r="A33" s="26"/>
      <c r="B33" s="26"/>
      <c r="C33" s="26"/>
      <c r="D33" s="26"/>
      <c r="E33" s="26"/>
      <c r="F33" s="26"/>
      <c r="G33" s="26"/>
      <c r="H33" s="26"/>
      <c r="I33" s="26"/>
      <c r="J33" s="26"/>
      <c r="K33" s="26"/>
    </row>
    <row r="34" spans="1:11" ht="15" hidden="1" x14ac:dyDescent="0.25">
      <c r="A34" s="26"/>
      <c r="B34" s="26"/>
      <c r="C34" s="26"/>
      <c r="D34" s="26"/>
      <c r="E34" s="26"/>
      <c r="F34" s="26"/>
      <c r="G34" s="26"/>
      <c r="H34" s="26"/>
      <c r="I34" s="26"/>
      <c r="J34" s="26"/>
      <c r="K34" s="26"/>
    </row>
    <row r="35" spans="1:11" ht="15" hidden="1" x14ac:dyDescent="0.25">
      <c r="A35" s="26"/>
      <c r="B35" s="26"/>
      <c r="C35" s="26"/>
      <c r="D35" s="26"/>
      <c r="E35" s="26"/>
      <c r="F35" s="26"/>
      <c r="G35" s="26"/>
      <c r="H35" s="26"/>
      <c r="I35" s="26"/>
      <c r="J35" s="26"/>
      <c r="K35" s="26"/>
    </row>
    <row r="36" spans="1:11" ht="15" hidden="1" x14ac:dyDescent="0.25">
      <c r="A36" s="26"/>
      <c r="B36" s="26"/>
      <c r="C36" s="26"/>
      <c r="D36" s="26"/>
      <c r="E36" s="26"/>
      <c r="F36" s="26"/>
      <c r="G36" s="26"/>
      <c r="H36" s="26"/>
      <c r="I36" s="26"/>
      <c r="J36" s="26"/>
      <c r="K36" s="26"/>
    </row>
    <row r="37" spans="1:11" ht="15" hidden="1" x14ac:dyDescent="0.25">
      <c r="A37" s="26"/>
      <c r="B37" s="26"/>
      <c r="C37" s="26"/>
      <c r="D37" s="26"/>
      <c r="E37" s="26"/>
      <c r="F37" s="26"/>
      <c r="G37" s="26"/>
      <c r="H37" s="26"/>
      <c r="I37" s="26"/>
      <c r="J37" s="26"/>
      <c r="K37" s="26"/>
    </row>
    <row r="38" spans="1:11" ht="15" hidden="1" x14ac:dyDescent="0.25"/>
    <row r="39" spans="1:11" ht="15" hidden="1" x14ac:dyDescent="0.25"/>
  </sheetData>
  <sheetProtection algorithmName="SHA-512" hashValue="S/1jNBhsHSKNIjYHPY8TcqW0cAHSlXP5G/iC+Ek16CZWLMduyazDgW09opK+BlUjyUKJc/ulQitAtaxvAFCnxA==" saltValue="njIQbgKBfe7tjK9UH8zwwQ==" spinCount="100000" sheet="1" objects="1" scenarios="1"/>
  <mergeCells count="21">
    <mergeCell ref="B7:C7"/>
    <mergeCell ref="B2:C2"/>
    <mergeCell ref="B3:C3"/>
    <mergeCell ref="B4:C4"/>
    <mergeCell ref="B5:C5"/>
    <mergeCell ref="B6:C6"/>
    <mergeCell ref="B8:C8"/>
    <mergeCell ref="B9:C9"/>
    <mergeCell ref="B10:C10"/>
    <mergeCell ref="B22:C22"/>
    <mergeCell ref="B23:C23"/>
    <mergeCell ref="B11:C11"/>
    <mergeCell ref="B21:D21"/>
    <mergeCell ref="B17:B19"/>
    <mergeCell ref="E17:I17"/>
    <mergeCell ref="E18:I18"/>
    <mergeCell ref="E19:I19"/>
    <mergeCell ref="B13:B15"/>
    <mergeCell ref="E13:I13"/>
    <mergeCell ref="E14:I14"/>
    <mergeCell ref="E15:I15"/>
  </mergeCells>
  <conditionalFormatting sqref="D13:D15">
    <cfRule type="cellIs" dxfId="199" priority="9" operator="greaterThan">
      <formula>10</formula>
    </cfRule>
    <cfRule type="cellIs" dxfId="198" priority="11" operator="lessThan">
      <formula>10</formula>
    </cfRule>
  </conditionalFormatting>
  <conditionalFormatting sqref="D17:D19">
    <cfRule type="cellIs" dxfId="197" priority="3" operator="lessThan">
      <formula>0</formula>
    </cfRule>
  </conditionalFormatting>
  <conditionalFormatting sqref="E13:I15">
    <cfRule type="expression" dxfId="196" priority="184">
      <formula>$D13&gt;10</formula>
    </cfRule>
    <cfRule type="expression" dxfId="195" priority="185">
      <formula>$D13&lt;10</formula>
    </cfRule>
  </conditionalFormatting>
  <conditionalFormatting sqref="E17:I19 F24:I27">
    <cfRule type="containsText" dxfId="194" priority="2" operator="containsText" text="LPA">
      <formula>NOT(ISERROR(SEARCH("LPA",E17)))</formula>
    </cfRule>
    <cfRule type="containsText" dxfId="193" priority="5" operator="containsText" text="Caution - % changed from default">
      <formula>NOT(ISERROR(SEARCH("Caution - % changed from default",E17)))</formula>
    </cfRule>
  </conditionalFormatting>
  <dataValidations disablePrompts="1" count="2">
    <dataValidation type="date" operator="lessThanOrEqual" allowBlank="1" showErrorMessage="1" errorTitle="Error" error="Future dates cannot be added" sqref="D9 D23" xr:uid="{E328DE73-888F-4868-B667-88379BEC6CEB}">
      <formula1>TODAY()</formula1>
    </dataValidation>
    <dataValidation errorStyle="warning" allowBlank="1" showErrorMessage="1" errorTitle="Caution" error="Please chek full list before entering non standrad LPA." sqref="D3" xr:uid="{24DAA5D7-891A-4C77-B726-D52F268E34DD}"/>
  </dataValidations>
  <pageMargins left="0.7" right="0.7" top="0.75" bottom="0.75" header="0.3" footer="0.3"/>
  <pageSetup paperSize="9" scale="58" orientation="portrait" horizontalDpi="1200" verticalDpi="1200" r:id="rId1"/>
  <extLst>
    <ext xmlns:x14="http://schemas.microsoft.com/office/spreadsheetml/2009/9/main" uri="{CCE6A557-97BC-4b89-ADB6-D9C93CAAB3DF}">
      <x14:dataValidations xmlns:xm="http://schemas.microsoft.com/office/excel/2006/main" disablePrompts="1" count="1">
        <x14:dataValidation type="list" errorStyle="warning" allowBlank="1" showErrorMessage="1" errorTitle="Caution" error="Please select from list where possible" xr:uid="{F22E5406-B080-4AF5-8C83-D58282F2255F}">
          <x14:formula1>
            <xm:f>'11. Lists'!$X$36:$X$50</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6E98-0B16-42D9-B147-2811A844B476}">
  <sheetPr codeName="Sheet7">
    <tabColor theme="0" tint="-0.249977111117893"/>
    <pageSetUpPr fitToPage="1"/>
  </sheetPr>
  <dimension ref="A1:R51"/>
  <sheetViews>
    <sheetView zoomScale="70" zoomScaleNormal="70" workbookViewId="0">
      <selection activeCell="C20" sqref="C20:D20"/>
    </sheetView>
  </sheetViews>
  <sheetFormatPr defaultColWidth="0" defaultRowHeight="15" zeroHeight="1" x14ac:dyDescent="0.25"/>
  <cols>
    <col min="1" max="1" width="4.5703125" customWidth="1"/>
    <col min="2" max="2" width="63.28515625" customWidth="1"/>
    <col min="3" max="3" width="48.85546875" bestFit="1" customWidth="1"/>
    <col min="4" max="4" width="46.85546875" customWidth="1"/>
    <col min="5" max="8" width="8.85546875" customWidth="1"/>
    <col min="9" max="13" width="8.85546875" hidden="1" customWidth="1"/>
    <col min="14" max="18" width="0" hidden="1" customWidth="1"/>
    <col min="19" max="16384" width="8.85546875" hidden="1"/>
  </cols>
  <sheetData>
    <row r="1" spans="1:14" ht="15.75" thickBot="1" x14ac:dyDescent="0.3">
      <c r="A1" s="26"/>
      <c r="B1" s="26"/>
      <c r="C1" s="26"/>
      <c r="D1" s="26"/>
      <c r="E1" s="26"/>
      <c r="F1" s="26"/>
      <c r="G1" s="26"/>
      <c r="H1" s="26"/>
      <c r="I1" s="26"/>
      <c r="J1" s="26"/>
      <c r="K1" s="26"/>
      <c r="L1" s="26"/>
      <c r="M1" s="26"/>
      <c r="N1" s="26"/>
    </row>
    <row r="2" spans="1:14" ht="24" customHeight="1" x14ac:dyDescent="0.25">
      <c r="A2" s="54"/>
      <c r="B2" s="221" t="s">
        <v>24</v>
      </c>
      <c r="C2" s="574" t="str">
        <f>IF('2. Site Details'!D4="","Enter site name on 2. Site Details",'2. Site Details'!D4)</f>
        <v>Land to Rear of 32 Church Street, Weldon</v>
      </c>
      <c r="D2" s="575"/>
      <c r="E2" s="26"/>
      <c r="F2" s="26"/>
      <c r="G2" s="26"/>
      <c r="H2" s="26"/>
      <c r="I2" s="26"/>
      <c r="J2" s="26"/>
      <c r="K2" s="26"/>
      <c r="L2" s="26"/>
      <c r="M2" s="26"/>
      <c r="N2" s="26"/>
    </row>
    <row r="3" spans="1:14" ht="24" customHeight="1" thickBot="1" x14ac:dyDescent="0.3">
      <c r="A3" s="54"/>
      <c r="B3" s="220" t="s">
        <v>7</v>
      </c>
      <c r="C3" s="572" t="s">
        <v>25</v>
      </c>
      <c r="D3" s="573"/>
      <c r="E3" s="26"/>
      <c r="F3" s="26"/>
      <c r="G3" s="26"/>
      <c r="H3" s="26"/>
      <c r="I3" s="26"/>
      <c r="J3" s="26"/>
      <c r="K3" s="26"/>
      <c r="L3" s="26"/>
      <c r="M3" s="26"/>
      <c r="N3" s="26"/>
    </row>
    <row r="4" spans="1:14" ht="14.45" customHeight="1" x14ac:dyDescent="0.25">
      <c r="A4" s="54"/>
      <c r="B4" s="54"/>
      <c r="C4" s="54"/>
      <c r="D4" s="54"/>
      <c r="E4" s="26"/>
      <c r="F4" s="26"/>
      <c r="G4" s="26"/>
      <c r="H4" s="26"/>
      <c r="I4" s="26"/>
      <c r="J4" s="26"/>
      <c r="K4" s="26"/>
      <c r="L4" s="26"/>
      <c r="M4" s="26"/>
      <c r="N4" s="26"/>
    </row>
    <row r="5" spans="1:14" ht="36" customHeight="1" thickBot="1" x14ac:dyDescent="0.3">
      <c r="A5" s="41"/>
      <c r="B5" s="57" t="s">
        <v>26</v>
      </c>
      <c r="C5" s="42"/>
      <c r="D5" s="42"/>
      <c r="E5" s="26"/>
      <c r="F5" s="26"/>
      <c r="G5" s="26"/>
      <c r="H5" s="26"/>
      <c r="I5" s="26"/>
      <c r="J5" s="26"/>
      <c r="K5" s="26"/>
      <c r="L5" s="26"/>
      <c r="M5" s="26"/>
      <c r="N5" s="26"/>
    </row>
    <row r="6" spans="1:14" ht="42" customHeight="1" x14ac:dyDescent="0.25">
      <c r="A6" s="26"/>
      <c r="B6" s="38" t="s">
        <v>27</v>
      </c>
      <c r="C6" s="156" t="s">
        <v>1023</v>
      </c>
      <c r="D6" s="223" t="str">
        <f>IF(AND(C6="Residential",C9="Unknown number"),"Site area must be less than 5,000 m2",IF(C6="","","Site area must be less than 10,000 m2"))</f>
        <v>Site area must be less than 10,000 m2</v>
      </c>
      <c r="E6" s="568" t="str">
        <f>IF(AND(C9="Unknown number", C6="Residential"),"Site area limited by unknown number of dwellings ⚠", "")</f>
        <v/>
      </c>
      <c r="F6" s="569"/>
      <c r="G6" s="569"/>
      <c r="H6" s="569"/>
      <c r="I6" s="26"/>
      <c r="J6" s="26"/>
      <c r="K6" s="26"/>
      <c r="L6" s="26"/>
      <c r="M6" s="26"/>
      <c r="N6" s="26"/>
    </row>
    <row r="7" spans="1:14" ht="42" customHeight="1" x14ac:dyDescent="0.25">
      <c r="A7" s="26"/>
      <c r="B7" s="43" t="s">
        <v>28</v>
      </c>
      <c r="C7" s="157">
        <v>1380</v>
      </c>
      <c r="D7" s="224" t="str">
        <f>IF(AND(D6="Site area must be less than 10,000 m2",C7&gt;=10000),"ERROR- Site too large for metric  - USE MAIN METRIC ▲",IF(AND(D6="Site area must be less than 5,000 m2",C7&gt;=5000),"ERROR- Site too large for metric  - USE MAIN METRIC ▲",""))</f>
        <v/>
      </c>
      <c r="E7" s="26"/>
      <c r="F7" s="26"/>
      <c r="G7" s="26"/>
      <c r="H7" s="26"/>
      <c r="I7" s="26"/>
      <c r="J7" s="26"/>
      <c r="K7" s="26"/>
      <c r="L7" s="26"/>
      <c r="M7" s="26"/>
      <c r="N7" s="26"/>
    </row>
    <row r="8" spans="1:14" ht="42" customHeight="1" x14ac:dyDescent="0.25">
      <c r="A8" s="26"/>
      <c r="B8" s="462" t="str">
        <f>IF(OR(C6="Residential",C6="Other"),"N/A",IF(C6="","","16. Building footprint (m2) of commercial buildings proposed within the development site (or zero if none)"))</f>
        <v>N/A</v>
      </c>
      <c r="C8" s="157"/>
      <c r="D8" s="225" t="str">
        <f>IF(AND(B8="n/a",C8&lt;&gt;""),"ERROR- Not required",IF(AND(C8&lt;&gt;"",C8&gt;=1000),"ERROR- Footprint too large for metric  - USE MAIN METRIC",IF(AND(C8&lt;&gt;"",C8&gt;C7),"ERROR - Footprint larger than development area","")))</f>
        <v/>
      </c>
      <c r="E8" s="26"/>
      <c r="F8" s="26"/>
      <c r="G8" s="26"/>
      <c r="H8" s="26"/>
      <c r="I8" s="26"/>
      <c r="J8" s="26"/>
      <c r="K8" s="26"/>
      <c r="L8" s="26"/>
      <c r="M8" s="26"/>
      <c r="N8" s="26"/>
    </row>
    <row r="9" spans="1:14" ht="42" customHeight="1" thickBot="1" x14ac:dyDescent="0.3">
      <c r="A9" s="26"/>
      <c r="B9" s="463" t="str">
        <f>IF(OR(C6="Commercial",C6="Other"),"N/A",IF(C6="","","17. Number of dwellings proposed within the development site"))</f>
        <v>17. Number of dwellings proposed within the development site</v>
      </c>
      <c r="C9" s="158" t="s">
        <v>1024</v>
      </c>
      <c r="D9" s="226" t="str">
        <f>IF(AND(B9="n/a",C9&lt;&gt;""),"ERROR- Not required ▲",IF(OR(AND(C6="Residential",C9="Over 9 dwellings"),AND(C6="Mixed",C9&gt;=10)),"ERROR- Number of dwellings too large for metric  - USE MAIN METRIC ▲",IF(AND(B9="17. Number of dwellings proposed within the development site",C9=""),"ERROR - You must specify number of dwellings ▲",IF(AND(C9&lt;&gt;"",C8&gt;C7),"ERROR - Footprint larger than development area ▲",""))))</f>
        <v/>
      </c>
      <c r="E9" s="26"/>
      <c r="F9" s="26"/>
      <c r="G9" s="26"/>
      <c r="H9" s="26"/>
      <c r="I9" s="26"/>
      <c r="J9" s="26"/>
      <c r="K9" s="26"/>
      <c r="L9" s="26"/>
      <c r="M9" s="26"/>
      <c r="N9" s="26"/>
    </row>
    <row r="10" spans="1:14" ht="36" customHeight="1" thickBot="1" x14ac:dyDescent="0.3">
      <c r="A10" s="26"/>
      <c r="B10" s="57" t="s">
        <v>29</v>
      </c>
      <c r="C10" s="44"/>
      <c r="D10" s="45"/>
      <c r="E10" s="26"/>
      <c r="F10" s="26"/>
      <c r="G10" s="26"/>
      <c r="H10" s="26"/>
      <c r="I10" s="26"/>
      <c r="J10" s="26"/>
      <c r="K10" s="26"/>
      <c r="L10" s="26"/>
      <c r="M10" s="26"/>
      <c r="N10" s="26"/>
    </row>
    <row r="11" spans="1:14" ht="42" customHeight="1" x14ac:dyDescent="0.25">
      <c r="A11" s="26"/>
      <c r="B11" s="38" t="s">
        <v>30</v>
      </c>
      <c r="C11" s="156" t="s">
        <v>1026</v>
      </c>
      <c r="D11" s="425" t="str">
        <f>IF(C11="On site","ERROR- Site too complex for metric - USE MAIN METRIC ▲",IF(C11="Within 500m of site boundary","Consider using main metric tool ⚠",""))</f>
        <v/>
      </c>
      <c r="E11" s="26"/>
      <c r="F11" s="26"/>
      <c r="G11" s="26"/>
      <c r="H11" s="26"/>
      <c r="I11" s="26"/>
      <c r="J11" s="26"/>
      <c r="K11" s="26"/>
      <c r="L11" s="26"/>
      <c r="M11" s="26"/>
      <c r="N11" s="26"/>
    </row>
    <row r="12" spans="1:14" ht="42" customHeight="1" x14ac:dyDescent="0.25">
      <c r="A12" s="26"/>
      <c r="B12" s="43" t="s">
        <v>31</v>
      </c>
      <c r="C12" s="157" t="s">
        <v>1025</v>
      </c>
      <c r="D12" s="479" t="str">
        <f>IF(C12="On site","ERROR- Site too complex for metric - USE MAIN METRIC ▲",IF(C12="Within 500m of site boundary","Consider using main metric tool ⚠",""))</f>
        <v>Consider using main metric tool ⚠</v>
      </c>
      <c r="E12" s="26"/>
      <c r="F12" s="26"/>
      <c r="G12" s="26"/>
      <c r="H12" s="26"/>
      <c r="I12" s="26"/>
      <c r="J12" s="26"/>
      <c r="K12" s="26"/>
      <c r="L12" s="26"/>
      <c r="M12" s="26"/>
      <c r="N12" s="26"/>
    </row>
    <row r="13" spans="1:14" ht="79.150000000000006" customHeight="1" x14ac:dyDescent="0.25">
      <c r="A13" s="26"/>
      <c r="B13" s="43" t="s">
        <v>32</v>
      </c>
      <c r="C13" s="576" t="s">
        <v>1027</v>
      </c>
      <c r="D13" s="577"/>
      <c r="E13" s="26"/>
      <c r="F13" s="26"/>
      <c r="G13" s="26"/>
      <c r="H13" s="26"/>
      <c r="I13" s="26"/>
      <c r="J13" s="26"/>
      <c r="K13" s="26"/>
      <c r="L13" s="26"/>
      <c r="M13" s="26"/>
      <c r="N13" s="26"/>
    </row>
    <row r="14" spans="1:14" ht="79.150000000000006" customHeight="1" thickBot="1" x14ac:dyDescent="0.3">
      <c r="A14" s="26"/>
      <c r="B14" s="37" t="s">
        <v>981</v>
      </c>
      <c r="C14" s="578" t="s">
        <v>1028</v>
      </c>
      <c r="D14" s="579"/>
      <c r="E14" s="26"/>
      <c r="F14" s="26"/>
      <c r="G14" s="26"/>
      <c r="H14" s="26"/>
      <c r="I14" s="26"/>
      <c r="J14" s="26"/>
      <c r="K14" s="26"/>
      <c r="L14" s="26"/>
      <c r="M14" s="26"/>
      <c r="N14" s="26"/>
    </row>
    <row r="15" spans="1:14" ht="36" customHeight="1" thickBot="1" x14ac:dyDescent="0.3">
      <c r="A15" s="26"/>
      <c r="B15" s="57" t="s">
        <v>33</v>
      </c>
      <c r="C15" s="26"/>
      <c r="D15" s="26"/>
      <c r="E15" s="26"/>
      <c r="F15" s="26"/>
      <c r="G15" s="26"/>
      <c r="H15" s="26"/>
      <c r="I15" s="26"/>
      <c r="J15" s="26"/>
      <c r="K15" s="26"/>
      <c r="L15" s="26"/>
      <c r="M15" s="26"/>
      <c r="N15" s="26"/>
    </row>
    <row r="16" spans="1:14" ht="42" customHeight="1" x14ac:dyDescent="0.25">
      <c r="A16" s="26"/>
      <c r="B16" s="38" t="s">
        <v>34</v>
      </c>
      <c r="C16" s="156" t="s">
        <v>1029</v>
      </c>
      <c r="D16" s="46" t="str">
        <f>IF(C16="Walkover completed by competent person","A competent person should be able to confidently identify the habitats onsite",IF(C16="No Walkover Undertaken","ERROR- Site walkover required",""))</f>
        <v/>
      </c>
      <c r="E16" s="26"/>
      <c r="F16" s="26"/>
      <c r="G16" s="26"/>
      <c r="H16" s="26"/>
      <c r="I16" s="26"/>
      <c r="J16" s="26"/>
      <c r="K16" s="26"/>
      <c r="L16" s="26"/>
      <c r="M16" s="26"/>
      <c r="N16" s="26"/>
    </row>
    <row r="17" spans="1:14" ht="42" customHeight="1" x14ac:dyDescent="0.25">
      <c r="A17" s="26"/>
      <c r="B17" s="43" t="s">
        <v>35</v>
      </c>
      <c r="C17" s="170">
        <v>45307</v>
      </c>
      <c r="D17" s="171" t="str">
        <f>IF(C17="","Walkover date required ▲","Site walkover data valid until "&amp;TEXT(EDATE(C17,6),"dd/mm/yy"))</f>
        <v>Site walkover data valid until 16/07/24</v>
      </c>
      <c r="E17" s="26"/>
      <c r="F17" s="26"/>
      <c r="G17" s="26"/>
      <c r="H17" s="26"/>
      <c r="I17" s="26"/>
      <c r="J17" s="26"/>
      <c r="K17" s="26"/>
      <c r="L17" s="26"/>
      <c r="M17" s="26"/>
      <c r="N17" s="26"/>
    </row>
    <row r="18" spans="1:14" ht="42" customHeight="1" thickBot="1" x14ac:dyDescent="0.3">
      <c r="A18" s="26"/>
      <c r="B18" s="37" t="s">
        <v>982</v>
      </c>
      <c r="C18" s="578" t="s">
        <v>1020</v>
      </c>
      <c r="D18" s="579"/>
      <c r="E18" s="26"/>
      <c r="F18" s="26"/>
      <c r="G18" s="26"/>
      <c r="H18" s="26"/>
      <c r="I18" s="26"/>
      <c r="J18" s="26"/>
      <c r="K18" s="26"/>
      <c r="L18" s="26"/>
      <c r="M18" s="26"/>
      <c r="N18" s="26"/>
    </row>
    <row r="19" spans="1:14" ht="36" customHeight="1" thickBot="1" x14ac:dyDescent="0.3">
      <c r="A19" s="26"/>
      <c r="B19" s="57" t="s">
        <v>36</v>
      </c>
      <c r="C19" s="26"/>
      <c r="D19" s="26"/>
      <c r="E19" s="26"/>
      <c r="F19" s="26"/>
      <c r="G19" s="26"/>
      <c r="H19" s="26"/>
      <c r="I19" s="26"/>
      <c r="J19" s="26"/>
      <c r="K19" s="26"/>
      <c r="L19" s="26"/>
      <c r="M19" s="26"/>
      <c r="N19" s="26"/>
    </row>
    <row r="20" spans="1:14" ht="79.150000000000006" customHeight="1" thickBot="1" x14ac:dyDescent="0.3">
      <c r="A20" s="26"/>
      <c r="B20" s="169" t="s">
        <v>983</v>
      </c>
      <c r="C20" s="570"/>
      <c r="D20" s="571"/>
      <c r="E20" s="26"/>
      <c r="F20" s="26"/>
      <c r="G20" s="26"/>
      <c r="H20" s="26"/>
      <c r="I20" s="26"/>
      <c r="J20" s="26"/>
      <c r="K20" s="26"/>
      <c r="L20" s="26"/>
      <c r="M20" s="26"/>
      <c r="N20" s="26"/>
    </row>
    <row r="21" spans="1:14" ht="14.45" customHeight="1" x14ac:dyDescent="0.25">
      <c r="A21" s="26"/>
      <c r="B21" s="26"/>
      <c r="C21" s="26"/>
      <c r="D21" s="26"/>
      <c r="E21" s="26"/>
      <c r="F21" s="26"/>
      <c r="G21" s="26"/>
      <c r="H21" s="26"/>
      <c r="I21" s="26"/>
      <c r="J21" s="26"/>
      <c r="K21" s="26"/>
      <c r="L21" s="26"/>
      <c r="M21" s="26"/>
      <c r="N21" s="26"/>
    </row>
    <row r="22" spans="1:14" ht="14.45" customHeight="1" x14ac:dyDescent="0.25">
      <c r="A22" s="26"/>
      <c r="B22" s="26"/>
      <c r="C22" s="26"/>
      <c r="D22" s="26"/>
      <c r="E22" s="26"/>
      <c r="F22" s="26"/>
      <c r="G22" s="26"/>
      <c r="H22" s="26"/>
      <c r="I22" s="26"/>
      <c r="J22" s="26"/>
      <c r="K22" s="26"/>
      <c r="L22" s="26"/>
      <c r="M22" s="26"/>
      <c r="N22" s="26"/>
    </row>
    <row r="23" spans="1:14" ht="14.45" customHeight="1" x14ac:dyDescent="0.25">
      <c r="A23" s="26"/>
      <c r="B23" s="26"/>
      <c r="C23" s="26"/>
      <c r="D23" s="26"/>
      <c r="E23" s="26"/>
      <c r="F23" s="26"/>
      <c r="G23" s="26"/>
      <c r="H23" s="26"/>
      <c r="I23" s="26"/>
      <c r="J23" s="26"/>
      <c r="K23" s="26"/>
      <c r="L23" s="26"/>
      <c r="M23" s="26"/>
      <c r="N23" s="26"/>
    </row>
    <row r="24" spans="1:14" ht="14.45" customHeight="1" x14ac:dyDescent="0.25">
      <c r="A24" s="26"/>
      <c r="B24" s="26"/>
      <c r="C24" s="26"/>
      <c r="D24" s="26"/>
      <c r="E24" s="26"/>
      <c r="F24" s="26"/>
      <c r="G24" s="26"/>
      <c r="H24" s="26"/>
      <c r="I24" s="26"/>
      <c r="J24" s="26"/>
      <c r="K24" s="26"/>
      <c r="L24" s="26"/>
      <c r="M24" s="26"/>
      <c r="N24" s="26"/>
    </row>
    <row r="25" spans="1:14" ht="14.45" customHeight="1" x14ac:dyDescent="0.25">
      <c r="A25" s="26"/>
      <c r="B25" s="26"/>
      <c r="C25" s="26"/>
      <c r="D25" s="26"/>
      <c r="E25" s="26"/>
      <c r="F25" s="26"/>
      <c r="G25" s="26"/>
      <c r="H25" s="26"/>
      <c r="I25" s="26"/>
      <c r="J25" s="26"/>
      <c r="K25" s="26"/>
      <c r="L25" s="26"/>
      <c r="M25" s="26"/>
      <c r="N25" s="26"/>
    </row>
    <row r="26" spans="1:14" ht="15" hidden="1" customHeight="1" x14ac:dyDescent="0.25">
      <c r="A26" s="26"/>
      <c r="B26" s="26"/>
      <c r="C26" s="26"/>
      <c r="D26" s="26"/>
      <c r="E26" s="26"/>
      <c r="F26" s="26"/>
      <c r="G26" s="26"/>
      <c r="H26" s="26"/>
      <c r="I26" s="26"/>
      <c r="J26" s="26"/>
      <c r="K26" s="26"/>
      <c r="L26" s="26"/>
      <c r="M26" s="26"/>
      <c r="N26" s="26"/>
    </row>
    <row r="27" spans="1:14" ht="15" hidden="1" customHeight="1" x14ac:dyDescent="0.25">
      <c r="A27" s="26"/>
      <c r="B27" s="26"/>
      <c r="C27" s="26"/>
      <c r="D27" s="26"/>
      <c r="E27" s="26"/>
      <c r="F27" s="26"/>
      <c r="G27" s="26"/>
      <c r="H27" s="26"/>
      <c r="I27" s="26"/>
      <c r="J27" s="26"/>
      <c r="K27" s="26"/>
      <c r="L27" s="26"/>
      <c r="M27" s="26"/>
      <c r="N27" s="26"/>
    </row>
    <row r="28" spans="1:14" hidden="1" x14ac:dyDescent="0.25">
      <c r="A28" s="26"/>
      <c r="B28" s="26"/>
      <c r="C28" s="26"/>
      <c r="D28" s="26"/>
      <c r="E28" s="26"/>
      <c r="F28" s="26"/>
      <c r="G28" s="26"/>
      <c r="H28" s="26"/>
      <c r="I28" s="26"/>
      <c r="J28" s="26"/>
      <c r="K28" s="26"/>
      <c r="L28" s="26"/>
      <c r="M28" s="26"/>
      <c r="N28" s="26"/>
    </row>
    <row r="29" spans="1:14" hidden="1" x14ac:dyDescent="0.25">
      <c r="A29" s="26"/>
      <c r="B29" s="26"/>
      <c r="C29" s="26"/>
      <c r="D29" s="26"/>
      <c r="E29" s="26"/>
      <c r="F29" s="26"/>
      <c r="G29" s="26"/>
      <c r="H29" s="26"/>
      <c r="I29" s="26"/>
      <c r="J29" s="26"/>
      <c r="K29" s="26"/>
      <c r="L29" s="26"/>
      <c r="M29" s="26"/>
      <c r="N29" s="26"/>
    </row>
    <row r="30" spans="1:14" hidden="1" x14ac:dyDescent="0.25">
      <c r="A30" s="26"/>
      <c r="B30" s="26"/>
      <c r="C30" s="26"/>
      <c r="D30" s="26"/>
      <c r="E30" s="26"/>
      <c r="F30" s="26"/>
      <c r="G30" s="26"/>
      <c r="H30" s="26"/>
      <c r="I30" s="26"/>
      <c r="J30" s="26"/>
      <c r="K30" s="26"/>
      <c r="L30" s="26"/>
      <c r="M30" s="26"/>
      <c r="N30" s="26"/>
    </row>
    <row r="31" spans="1:14" hidden="1" x14ac:dyDescent="0.25">
      <c r="A31" s="26"/>
      <c r="B31" s="26"/>
      <c r="C31" s="26"/>
      <c r="D31" s="26"/>
      <c r="E31" s="26"/>
      <c r="F31" s="26"/>
      <c r="G31" s="26"/>
      <c r="H31" s="26"/>
    </row>
    <row r="32" spans="1:14" hidden="1" x14ac:dyDescent="0.25">
      <c r="A32" s="26"/>
      <c r="B32" s="26"/>
      <c r="C32" s="26"/>
      <c r="D32" s="26"/>
      <c r="E32" s="26"/>
      <c r="F32" s="26"/>
      <c r="G32" s="26"/>
      <c r="H32" s="26"/>
    </row>
    <row r="33" spans="1:8" hidden="1" x14ac:dyDescent="0.25">
      <c r="A33" s="26"/>
      <c r="B33" s="26"/>
      <c r="C33" s="26"/>
      <c r="D33" s="26"/>
      <c r="E33" s="26"/>
      <c r="F33" s="26"/>
      <c r="G33" s="26"/>
      <c r="H33" s="26"/>
    </row>
    <row r="34" spans="1:8" hidden="1" x14ac:dyDescent="0.25">
      <c r="A34" s="26"/>
      <c r="B34" s="26"/>
      <c r="C34" s="26"/>
      <c r="D34" s="26"/>
      <c r="E34" s="26"/>
      <c r="F34" s="26"/>
      <c r="G34" s="26"/>
      <c r="H34" s="26"/>
    </row>
    <row r="35" spans="1:8" hidden="1" x14ac:dyDescent="0.25">
      <c r="A35" s="26"/>
      <c r="B35" s="26"/>
      <c r="C35" s="26"/>
      <c r="D35" s="26"/>
      <c r="E35" s="26"/>
      <c r="F35" s="26"/>
      <c r="G35" s="26"/>
      <c r="H35" s="26"/>
    </row>
    <row r="36" spans="1:8" hidden="1" x14ac:dyDescent="0.25">
      <c r="A36" s="26"/>
      <c r="B36" s="26"/>
      <c r="C36" s="26"/>
      <c r="D36" s="26"/>
      <c r="E36" s="26"/>
      <c r="F36" s="26"/>
      <c r="G36" s="26"/>
      <c r="H36" s="26"/>
    </row>
    <row r="37" spans="1:8" hidden="1" x14ac:dyDescent="0.25">
      <c r="A37" s="26"/>
      <c r="B37" s="26"/>
      <c r="C37" s="26"/>
      <c r="D37" s="26"/>
      <c r="E37" s="26"/>
      <c r="F37" s="26"/>
      <c r="G37" s="26"/>
      <c r="H37" s="26"/>
    </row>
    <row r="38" spans="1:8" hidden="1" x14ac:dyDescent="0.25">
      <c r="A38" s="26"/>
      <c r="B38" s="26"/>
      <c r="C38" s="26"/>
      <c r="D38" s="26"/>
      <c r="E38" s="26"/>
      <c r="F38" s="26"/>
      <c r="G38" s="26"/>
      <c r="H38" s="26"/>
    </row>
    <row r="39" spans="1:8" hidden="1" x14ac:dyDescent="0.25">
      <c r="A39" s="26"/>
      <c r="B39" s="26"/>
      <c r="C39" s="26"/>
      <c r="D39" s="26"/>
      <c r="E39" s="26"/>
      <c r="F39" s="26"/>
      <c r="G39" s="26"/>
      <c r="H39" s="26"/>
    </row>
    <row r="49" customFormat="1" hidden="1" x14ac:dyDescent="0.25"/>
    <row r="50" customFormat="1" hidden="1" x14ac:dyDescent="0.25"/>
    <row r="51" customFormat="1" hidden="1" x14ac:dyDescent="0.25"/>
  </sheetData>
  <sheetProtection algorithmName="SHA-512" hashValue="Vq6J6m1muYC7PzBXRUBh4hsMCvPGijkf8//VLmzSnOOsXIAYnRxAQs62YnT6xfaqlCcxA6L/tFgotpg0Lruu9Q==" saltValue="gqDJi90iWzhX0vcSTUzMPg==" spinCount="100000" sheet="1" objects="1" scenarios="1"/>
  <mergeCells count="7">
    <mergeCell ref="E6:H6"/>
    <mergeCell ref="C20:D20"/>
    <mergeCell ref="C3:D3"/>
    <mergeCell ref="C2:D2"/>
    <mergeCell ref="C13:D13"/>
    <mergeCell ref="C14:D14"/>
    <mergeCell ref="C18:D18"/>
  </mergeCells>
  <conditionalFormatting sqref="C6">
    <cfRule type="expression" dxfId="192" priority="12">
      <formula>IF(C6&lt;&gt;"",TRUE,"")</formula>
    </cfRule>
  </conditionalFormatting>
  <conditionalFormatting sqref="C7">
    <cfRule type="expression" dxfId="191" priority="15">
      <formula>IF(AND(LEFT(D7,1)="E",C7&lt;&gt;""),TRUE,"")</formula>
    </cfRule>
    <cfRule type="expression" dxfId="190" priority="16" stopIfTrue="1">
      <formula>IF(AND(LEFT(D7,1)&lt;&gt;"E",C7&lt;&gt;""),TRUE,"")</formula>
    </cfRule>
  </conditionalFormatting>
  <conditionalFormatting sqref="C8">
    <cfRule type="expression" dxfId="189" priority="14">
      <formula>AND(C8&gt;0,C8&lt;=C7,C8&lt;1001)</formula>
    </cfRule>
  </conditionalFormatting>
  <conditionalFormatting sqref="C8:C9">
    <cfRule type="expression" dxfId="188" priority="8" stopIfTrue="1">
      <formula>IF(LEFT(D8,1)="E","TRUE","")</formula>
    </cfRule>
  </conditionalFormatting>
  <conditionalFormatting sqref="C9">
    <cfRule type="containsText" dxfId="187" priority="2" operator="containsText" text="Unknown">
      <formula>NOT(ISERROR(SEARCH("Unknown",C9)))</formula>
    </cfRule>
    <cfRule type="expression" dxfId="186" priority="9">
      <formula>AND(C9&gt;0,LEFT(D10,1)&lt;&gt;"E")</formula>
    </cfRule>
  </conditionalFormatting>
  <conditionalFormatting sqref="C11:C12">
    <cfRule type="expression" dxfId="185" priority="31">
      <formula>C11="Within 500m of site boundary"</formula>
    </cfRule>
    <cfRule type="expression" dxfId="184" priority="32">
      <formula>C11="On site"</formula>
    </cfRule>
    <cfRule type="expression" dxfId="183" priority="33">
      <formula>C11="No"</formula>
    </cfRule>
  </conditionalFormatting>
  <conditionalFormatting sqref="C16:C17">
    <cfRule type="expression" dxfId="182" priority="40">
      <formula>C16="Walkover completed by competent person"</formula>
    </cfRule>
    <cfRule type="expression" dxfId="181" priority="41">
      <formula>C16="No walkover undertaken"</formula>
    </cfRule>
    <cfRule type="expression" dxfId="180" priority="42">
      <formula>C16="Walkover completed by qualified ecologist"</formula>
    </cfRule>
  </conditionalFormatting>
  <conditionalFormatting sqref="D7">
    <cfRule type="expression" dxfId="179" priority="11">
      <formula>IF(LEFT(D7,1)="E","TRUE","")</formula>
    </cfRule>
  </conditionalFormatting>
  <conditionalFormatting sqref="D8:D9">
    <cfRule type="containsText" dxfId="178" priority="7" operator="containsText" text="ERROR">
      <formula>NOT(ISERROR(SEARCH("ERROR",D8)))</formula>
    </cfRule>
  </conditionalFormatting>
  <conditionalFormatting sqref="D11:D12">
    <cfRule type="containsText" dxfId="177" priority="3" operator="containsText" text="Consider">
      <formula>NOT(ISERROR(SEARCH("Consider",D11)))</formula>
    </cfRule>
    <cfRule type="expression" dxfId="176" priority="51">
      <formula>C11="On site"</formula>
    </cfRule>
  </conditionalFormatting>
  <conditionalFormatting sqref="D16">
    <cfRule type="expression" dxfId="175" priority="28">
      <formula>$C$16="Walkover completed by competent person"</formula>
    </cfRule>
    <cfRule type="expression" dxfId="174" priority="49">
      <formula>C16="No walkover undertaken"</formula>
    </cfRule>
  </conditionalFormatting>
  <conditionalFormatting sqref="D17">
    <cfRule type="containsText" dxfId="173" priority="27" operator="containsText" text="Walkover date required">
      <formula>NOT(ISERROR(SEARCH("Walkover date required",D17)))</formula>
    </cfRule>
  </conditionalFormatting>
  <conditionalFormatting sqref="E6:H6">
    <cfRule type="notContainsBlanks" dxfId="172" priority="1">
      <formula>LEN(TRIM(E6))&gt;0</formula>
    </cfRule>
  </conditionalFormatting>
  <dataValidations count="5">
    <dataValidation type="list" allowBlank="1" showInputMessage="1" showErrorMessage="1" sqref="C6" xr:uid="{325EC589-552A-404D-B7D4-4D8EFD896C12}">
      <formula1>"Residential,Commercial,Mixed,Other"</formula1>
    </dataValidation>
    <dataValidation type="list" allowBlank="1" showInputMessage="1" showErrorMessage="1" sqref="C11:C12" xr:uid="{2663ADE3-EBE6-42F9-9180-2A62E5086209}">
      <formula1>"On site,Within 500m of site boundary,No"</formula1>
    </dataValidation>
    <dataValidation type="list" allowBlank="1" showInputMessage="1" showErrorMessage="1" sqref="C16" xr:uid="{DC1BD428-7F08-4C83-97A0-4177B01BB499}">
      <formula1>"Walkover completed by qualified ecologist,Walkover completed by competent person,No walkover undertaken"</formula1>
    </dataValidation>
    <dataValidation type="date" operator="lessThanOrEqual" allowBlank="1" showInputMessage="1" showErrorMessage="1" errorTitle="Error" error="Future dates not permited" sqref="C17" xr:uid="{A884B896-36E1-41D9-989A-9DF75FF39B69}">
      <formula1>TODAY()</formula1>
    </dataValidation>
    <dataValidation type="list" allowBlank="1" showInputMessage="1" showErrorMessage="1" sqref="C9" xr:uid="{D53D0D02-EC8D-496C-A2A5-CF2104E92ED9}">
      <formula1>"Unknown number, Between 1 - 9 dwellings, Over 9 dwellings"</formula1>
    </dataValidation>
  </dataValidations>
  <pageMargins left="0.7" right="0.7" top="0.75" bottom="0.75" header="0.3" footer="0.3"/>
  <pageSetup paperSize="9" scale="5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61A7-C478-4620-BBDE-F558B68BAD4D}">
  <sheetPr codeName="Sheet9">
    <tabColor theme="0" tint="-0.249977111117893"/>
    <pageSetUpPr fitToPage="1"/>
  </sheetPr>
  <dimension ref="A1:AH158"/>
  <sheetViews>
    <sheetView showGridLines="0" showRowColHeaders="0"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0" defaultRowHeight="15" zeroHeight="1" x14ac:dyDescent="0.25"/>
  <cols>
    <col min="1" max="1" width="3.42578125" customWidth="1"/>
    <col min="2" max="2" width="16.42578125" bestFit="1" customWidth="1"/>
    <col min="3" max="3" width="32.28515625" bestFit="1" customWidth="1"/>
    <col min="4" max="5" width="89.85546875" customWidth="1"/>
    <col min="6" max="7" width="8.85546875" customWidth="1"/>
    <col min="8" max="34" width="0" hidden="1" customWidth="1"/>
    <col min="35" max="16384" width="8.85546875" hidden="1"/>
  </cols>
  <sheetData>
    <row r="1" spans="1:34" ht="15.75"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24.6" customHeight="1" x14ac:dyDescent="0.3">
      <c r="A2" s="26"/>
      <c r="B2" s="584" t="s">
        <v>24</v>
      </c>
      <c r="C2" s="585"/>
      <c r="D2" s="295" t="str">
        <f>IF('2. Site Details'!D4="","Enter site name on 2. Site Details",'2. Site Details'!D4)</f>
        <v>Land to Rear of 32 Church Street, Weldon</v>
      </c>
      <c r="E2" s="587" t="str">
        <f>IF(OR('3. Desktop Assessment'!C16="Walkover completed by competent person",'3. Desktop Assessment'!C16="No walkover undertaken"),IF(COUNTA(D8:E8,D10:E10,D14:E14,D16:E16,D18:E18,D22:E22,D26:E26,D30:E30,D34:E34,D38:E38,D42:E42,D46:E46,D12:E12,D20:E20,D24:E24,D28:E28,D32:E32,D36:E36,D40:E40,D44:E44)=0,"Error - Site photographs required to support application",""),"")</f>
        <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24.6" customHeight="1" thickBot="1" x14ac:dyDescent="0.35">
      <c r="A3" s="26"/>
      <c r="B3" s="582" t="s">
        <v>7</v>
      </c>
      <c r="C3" s="583"/>
      <c r="D3" s="296" t="s">
        <v>37</v>
      </c>
      <c r="E3" s="58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ht="24.6"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ht="31.15" customHeight="1" x14ac:dyDescent="0.35">
      <c r="A5" s="26"/>
      <c r="B5" s="58" t="s">
        <v>38</v>
      </c>
      <c r="C5" s="60"/>
      <c r="D5" s="586" t="s">
        <v>984</v>
      </c>
      <c r="E5" s="58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ht="15.75" thickBot="1" x14ac:dyDescent="0.3">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30.6" customHeight="1" thickBot="1" x14ac:dyDescent="0.3">
      <c r="A7" s="26"/>
      <c r="B7" s="208" t="s">
        <v>39</v>
      </c>
      <c r="C7" s="209" t="s">
        <v>40</v>
      </c>
      <c r="D7" s="209" t="s">
        <v>41</v>
      </c>
      <c r="E7" s="210" t="s">
        <v>42</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ht="33" customHeight="1" x14ac:dyDescent="0.25">
      <c r="A8" s="26"/>
      <c r="B8" s="580">
        <v>1</v>
      </c>
      <c r="C8" s="180" t="s">
        <v>43</v>
      </c>
      <c r="D8" s="464"/>
      <c r="E8" s="46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ht="303.75" customHeight="1" thickBot="1" x14ac:dyDescent="0.3">
      <c r="A9" s="26"/>
      <c r="B9" s="581"/>
      <c r="C9" s="207" t="str">
        <f>IF('5. Area Habitats'!D11=0,"",'5. Area Habitats'!D11)</f>
        <v>Vegetated garden</v>
      </c>
      <c r="D9" s="212"/>
      <c r="E9" s="213"/>
      <c r="F9" s="26"/>
      <c r="G9" s="26"/>
      <c r="H9" s="26"/>
      <c r="I9" s="26"/>
      <c r="J9" s="26"/>
      <c r="K9" s="59"/>
      <c r="L9" s="59"/>
      <c r="M9" s="59"/>
      <c r="N9" s="59"/>
      <c r="O9" s="59"/>
      <c r="P9" s="59"/>
      <c r="Q9" s="59"/>
      <c r="R9" s="59"/>
      <c r="S9" s="59"/>
      <c r="T9" s="59"/>
      <c r="U9" s="59"/>
      <c r="V9" s="59"/>
      <c r="W9" s="59"/>
      <c r="X9" s="59"/>
      <c r="Y9" s="59"/>
      <c r="Z9" s="59"/>
      <c r="AA9" s="59"/>
      <c r="AB9" s="59"/>
      <c r="AC9" s="59"/>
      <c r="AD9" s="59"/>
      <c r="AE9" s="59"/>
      <c r="AF9" s="59"/>
      <c r="AG9" s="59"/>
      <c r="AH9" s="59"/>
    </row>
    <row r="10" spans="1:34" ht="33" customHeight="1" x14ac:dyDescent="0.25">
      <c r="A10" s="26"/>
      <c r="B10" s="580">
        <v>2</v>
      </c>
      <c r="C10" s="180" t="s">
        <v>43</v>
      </c>
      <c r="D10" s="464"/>
      <c r="E10" s="465"/>
      <c r="F10" s="26"/>
      <c r="G10" s="26"/>
      <c r="H10" s="26"/>
      <c r="I10" s="26"/>
      <c r="J10" s="26"/>
      <c r="K10" s="59"/>
      <c r="L10" s="59"/>
      <c r="M10" s="59"/>
      <c r="N10" s="59"/>
      <c r="O10" s="59"/>
      <c r="P10" s="59"/>
      <c r="Q10" s="59"/>
      <c r="R10" s="59"/>
      <c r="S10" s="59"/>
      <c r="T10" s="59"/>
      <c r="U10" s="59"/>
      <c r="V10" s="59"/>
      <c r="W10" s="59"/>
      <c r="X10" s="59"/>
      <c r="Y10" s="59"/>
      <c r="Z10" s="59"/>
      <c r="AA10" s="59"/>
      <c r="AB10" s="59"/>
      <c r="AC10" s="59"/>
      <c r="AD10" s="59"/>
      <c r="AE10" s="59"/>
      <c r="AF10" s="59"/>
      <c r="AG10" s="59"/>
      <c r="AH10" s="59"/>
    </row>
    <row r="11" spans="1:34" ht="303.75" customHeight="1" thickBot="1" x14ac:dyDescent="0.3">
      <c r="A11" s="26"/>
      <c r="B11" s="581"/>
      <c r="C11" s="207" t="str">
        <f>IF('5. Area Habitats'!D12=0,"",'5. Area Habitats'!D12)</f>
        <v/>
      </c>
      <c r="D11" s="212"/>
      <c r="E11" s="213"/>
      <c r="F11" s="26"/>
      <c r="G11" s="26"/>
      <c r="H11" s="26"/>
      <c r="I11" s="26"/>
      <c r="J11" s="26"/>
      <c r="K11" s="59"/>
      <c r="L11" s="59"/>
      <c r="M11" s="59"/>
      <c r="N11" s="59"/>
      <c r="O11" s="59"/>
      <c r="P11" s="59"/>
      <c r="Q11" s="59"/>
      <c r="R11" s="59"/>
      <c r="S11" s="59"/>
      <c r="T11" s="59"/>
      <c r="U11" s="59"/>
      <c r="V11" s="59"/>
      <c r="W11" s="59"/>
      <c r="X11" s="59"/>
      <c r="Y11" s="59"/>
      <c r="Z11" s="59"/>
      <c r="AA11" s="59"/>
      <c r="AB11" s="59"/>
      <c r="AC11" s="59"/>
      <c r="AD11" s="59"/>
      <c r="AE11" s="59"/>
      <c r="AF11" s="59"/>
      <c r="AG11" s="59"/>
      <c r="AH11" s="59"/>
    </row>
    <row r="12" spans="1:34" ht="33" customHeight="1" x14ac:dyDescent="0.25">
      <c r="A12" s="26"/>
      <c r="B12" s="580">
        <v>3</v>
      </c>
      <c r="C12" s="180" t="s">
        <v>43</v>
      </c>
      <c r="D12" s="464"/>
      <c r="E12" s="465"/>
      <c r="F12" s="26"/>
      <c r="G12" s="26"/>
      <c r="H12" s="26"/>
      <c r="I12" s="26"/>
      <c r="J12" s="26"/>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ht="303.75" customHeight="1" thickBot="1" x14ac:dyDescent="0.3">
      <c r="A13" s="26"/>
      <c r="B13" s="581"/>
      <c r="C13" s="207" t="str">
        <f>IF('5. Area Habitats'!D13=0,"",'5. Area Habitats'!D13)</f>
        <v/>
      </c>
      <c r="D13" s="212"/>
      <c r="E13" s="213"/>
      <c r="F13" s="26"/>
      <c r="G13" s="26"/>
      <c r="H13" s="26"/>
      <c r="I13" s="26"/>
      <c r="J13" s="26"/>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1:34" ht="33" customHeight="1" x14ac:dyDescent="0.25">
      <c r="A14" s="26"/>
      <c r="B14" s="588">
        <v>4</v>
      </c>
      <c r="C14" s="180" t="s">
        <v>43</v>
      </c>
      <c r="D14" s="466"/>
      <c r="E14" s="467"/>
      <c r="F14" s="26"/>
      <c r="G14" s="26"/>
      <c r="H14" s="26"/>
      <c r="I14" s="26"/>
      <c r="J14" s="26"/>
      <c r="K14" s="59"/>
      <c r="L14" s="59"/>
      <c r="M14" s="59"/>
      <c r="N14" s="59"/>
      <c r="O14" s="59"/>
      <c r="P14" s="59"/>
      <c r="Q14" s="59"/>
      <c r="R14" s="59"/>
      <c r="S14" s="59"/>
      <c r="T14" s="59"/>
      <c r="U14" s="59"/>
      <c r="V14" s="59"/>
      <c r="W14" s="59"/>
      <c r="X14" s="59"/>
      <c r="Y14" s="59"/>
      <c r="Z14" s="59"/>
      <c r="AA14" s="59"/>
      <c r="AB14" s="59"/>
      <c r="AC14" s="59"/>
      <c r="AD14" s="59"/>
      <c r="AE14" s="59"/>
      <c r="AF14" s="59"/>
      <c r="AG14" s="59"/>
      <c r="AH14" s="59"/>
    </row>
    <row r="15" spans="1:34" ht="303.75" customHeight="1" thickBot="1" x14ac:dyDescent="0.3">
      <c r="A15" s="26"/>
      <c r="B15" s="589"/>
      <c r="C15" s="211" t="str">
        <f>IF('5. Area Habitats'!D14=0,"",'5. Area Habitats'!D14)</f>
        <v/>
      </c>
      <c r="D15" s="214"/>
      <c r="E15" s="215"/>
      <c r="F15" s="26"/>
      <c r="G15" s="26"/>
      <c r="H15" s="26"/>
      <c r="I15" s="26"/>
      <c r="J15" s="26"/>
      <c r="K15" s="59"/>
      <c r="L15" s="59"/>
      <c r="M15" s="59"/>
      <c r="N15" s="59"/>
      <c r="O15" s="59"/>
      <c r="P15" s="59"/>
      <c r="Q15" s="59"/>
      <c r="R15" s="59"/>
      <c r="S15" s="59"/>
      <c r="T15" s="59"/>
      <c r="U15" s="59"/>
      <c r="V15" s="59"/>
      <c r="W15" s="59"/>
      <c r="X15" s="59"/>
      <c r="Y15" s="59"/>
      <c r="Z15" s="59"/>
      <c r="AA15" s="59"/>
      <c r="AB15" s="59"/>
      <c r="AC15" s="59"/>
      <c r="AD15" s="59"/>
      <c r="AE15" s="59"/>
      <c r="AF15" s="59"/>
      <c r="AG15" s="59"/>
      <c r="AH15" s="59"/>
    </row>
    <row r="16" spans="1:34" ht="33" customHeight="1" x14ac:dyDescent="0.25">
      <c r="A16" s="26"/>
      <c r="B16" s="580">
        <v>5</v>
      </c>
      <c r="C16" s="180" t="s">
        <v>43</v>
      </c>
      <c r="D16" s="464"/>
      <c r="E16" s="465"/>
      <c r="F16" s="26"/>
      <c r="G16" s="26"/>
      <c r="H16" s="26"/>
      <c r="I16" s="26"/>
      <c r="J16" s="26"/>
      <c r="K16" s="59"/>
      <c r="L16" s="59"/>
      <c r="M16" s="59"/>
      <c r="N16" s="59"/>
      <c r="O16" s="59"/>
      <c r="P16" s="59"/>
      <c r="Q16" s="59"/>
      <c r="R16" s="59"/>
      <c r="S16" s="59"/>
      <c r="T16" s="59"/>
      <c r="U16" s="59"/>
      <c r="V16" s="59"/>
      <c r="W16" s="59"/>
      <c r="X16" s="59"/>
      <c r="Y16" s="59"/>
      <c r="Z16" s="59"/>
      <c r="AA16" s="59"/>
      <c r="AB16" s="59"/>
      <c r="AC16" s="59"/>
      <c r="AD16" s="59"/>
      <c r="AE16" s="59"/>
      <c r="AF16" s="59"/>
      <c r="AG16" s="59"/>
      <c r="AH16" s="59"/>
    </row>
    <row r="17" spans="1:34" ht="303.75" customHeight="1" thickBot="1" x14ac:dyDescent="0.3">
      <c r="A17" s="26"/>
      <c r="B17" s="581"/>
      <c r="C17" s="207" t="str">
        <f>IF('5. Area Habitats'!D15=0,"",'5. Area Habitats'!D15)</f>
        <v/>
      </c>
      <c r="D17" s="212"/>
      <c r="E17" s="213"/>
      <c r="F17" s="26"/>
      <c r="G17" s="26"/>
      <c r="H17" s="26"/>
      <c r="I17" s="26"/>
      <c r="J17" s="26"/>
      <c r="K17" s="59"/>
      <c r="L17" s="59"/>
      <c r="M17" s="59"/>
      <c r="N17" s="59"/>
      <c r="O17" s="59"/>
      <c r="P17" s="59"/>
      <c r="Q17" s="59"/>
      <c r="R17" s="59"/>
      <c r="S17" s="59"/>
      <c r="T17" s="59"/>
      <c r="U17" s="59"/>
      <c r="V17" s="59"/>
      <c r="W17" s="59"/>
      <c r="X17" s="59"/>
      <c r="Y17" s="59"/>
      <c r="Z17" s="59"/>
      <c r="AA17" s="59"/>
      <c r="AB17" s="59"/>
      <c r="AC17" s="59"/>
      <c r="AD17" s="59"/>
      <c r="AE17" s="59"/>
      <c r="AF17" s="59"/>
      <c r="AG17" s="59"/>
      <c r="AH17" s="59"/>
    </row>
    <row r="18" spans="1:34" ht="33" customHeight="1" x14ac:dyDescent="0.25">
      <c r="A18" s="26"/>
      <c r="B18" s="580">
        <v>6</v>
      </c>
      <c r="C18" s="180" t="s">
        <v>43</v>
      </c>
      <c r="D18" s="464"/>
      <c r="E18" s="465"/>
      <c r="F18" s="26"/>
      <c r="G18" s="26"/>
      <c r="H18" s="26"/>
      <c r="I18" s="26"/>
      <c r="J18" s="26"/>
      <c r="K18" s="59"/>
      <c r="L18" s="59"/>
      <c r="M18" s="59"/>
      <c r="N18" s="59"/>
      <c r="O18" s="59"/>
      <c r="P18" s="59"/>
      <c r="Q18" s="59"/>
      <c r="R18" s="59"/>
      <c r="S18" s="59"/>
      <c r="T18" s="59"/>
      <c r="U18" s="59"/>
      <c r="V18" s="59"/>
      <c r="W18" s="59"/>
      <c r="X18" s="59"/>
      <c r="Y18" s="59"/>
      <c r="Z18" s="59"/>
      <c r="AA18" s="59"/>
      <c r="AB18" s="59"/>
      <c r="AC18" s="59"/>
      <c r="AD18" s="59"/>
      <c r="AE18" s="59"/>
      <c r="AF18" s="59"/>
      <c r="AG18" s="59"/>
      <c r="AH18" s="59"/>
    </row>
    <row r="19" spans="1:34" ht="303.75" customHeight="1" thickBot="1" x14ac:dyDescent="0.3">
      <c r="A19" s="26"/>
      <c r="B19" s="581"/>
      <c r="C19" s="207" t="str">
        <f>IF('5. Area Habitats'!D16=0,"",'5. Area Habitats'!D16)</f>
        <v/>
      </c>
      <c r="D19" s="212"/>
      <c r="E19" s="213"/>
      <c r="F19" s="26"/>
      <c r="G19" s="26"/>
      <c r="H19" s="26"/>
      <c r="I19" s="26"/>
      <c r="J19" s="26"/>
      <c r="K19" s="59"/>
      <c r="L19" s="59"/>
      <c r="M19" s="59"/>
      <c r="N19" s="59"/>
      <c r="O19" s="59"/>
      <c r="P19" s="59"/>
      <c r="Q19" s="59"/>
      <c r="R19" s="59"/>
      <c r="S19" s="59"/>
      <c r="T19" s="59"/>
      <c r="U19" s="59"/>
      <c r="V19" s="59"/>
      <c r="W19" s="59"/>
      <c r="X19" s="59"/>
      <c r="Y19" s="59"/>
      <c r="Z19" s="59"/>
      <c r="AA19" s="59"/>
      <c r="AB19" s="59"/>
      <c r="AC19" s="59"/>
      <c r="AD19" s="59"/>
      <c r="AE19" s="59"/>
      <c r="AF19" s="59"/>
      <c r="AG19" s="59"/>
      <c r="AH19" s="59"/>
    </row>
    <row r="20" spans="1:34" ht="33" customHeight="1" x14ac:dyDescent="0.25">
      <c r="A20" s="26"/>
      <c r="B20" s="580">
        <v>7</v>
      </c>
      <c r="C20" s="180" t="s">
        <v>43</v>
      </c>
      <c r="D20" s="464"/>
      <c r="E20" s="465"/>
      <c r="F20" s="26"/>
      <c r="G20" s="26"/>
      <c r="H20" s="26"/>
      <c r="I20" s="26"/>
      <c r="J20" s="26"/>
      <c r="K20" s="59"/>
      <c r="L20" s="59"/>
      <c r="M20" s="59"/>
      <c r="N20" s="59"/>
      <c r="O20" s="59"/>
      <c r="P20" s="59"/>
      <c r="Q20" s="59"/>
      <c r="R20" s="59"/>
      <c r="S20" s="59"/>
      <c r="T20" s="59"/>
      <c r="U20" s="59"/>
      <c r="V20" s="59"/>
      <c r="W20" s="59"/>
      <c r="X20" s="59"/>
      <c r="Y20" s="59"/>
      <c r="Z20" s="59"/>
      <c r="AA20" s="59"/>
      <c r="AB20" s="59"/>
      <c r="AC20" s="59"/>
      <c r="AD20" s="59"/>
      <c r="AE20" s="59"/>
      <c r="AF20" s="59"/>
      <c r="AG20" s="59"/>
      <c r="AH20" s="59"/>
    </row>
    <row r="21" spans="1:34" ht="303.75" customHeight="1" thickBot="1" x14ac:dyDescent="0.3">
      <c r="A21" s="26"/>
      <c r="B21" s="581"/>
      <c r="C21" s="207" t="str">
        <f>IF('5. Area Habitats'!D17=0,"",'5. Area Habitats'!D17)</f>
        <v/>
      </c>
      <c r="D21" s="212"/>
      <c r="E21" s="213"/>
      <c r="F21" s="26"/>
      <c r="G21" s="26"/>
      <c r="H21" s="26"/>
      <c r="I21" s="26"/>
      <c r="J21" s="26"/>
      <c r="K21" s="59"/>
      <c r="L21" s="59"/>
      <c r="M21" s="59"/>
      <c r="N21" s="59"/>
      <c r="O21" s="59"/>
      <c r="P21" s="59"/>
      <c r="Q21" s="59"/>
      <c r="R21" s="59"/>
      <c r="S21" s="59"/>
      <c r="T21" s="59"/>
      <c r="U21" s="59"/>
      <c r="V21" s="59"/>
      <c r="W21" s="59"/>
      <c r="X21" s="59"/>
      <c r="Y21" s="59"/>
      <c r="Z21" s="59"/>
      <c r="AA21" s="59"/>
      <c r="AB21" s="59"/>
      <c r="AC21" s="59"/>
      <c r="AD21" s="59"/>
      <c r="AE21" s="59"/>
      <c r="AF21" s="59"/>
      <c r="AG21" s="59"/>
      <c r="AH21" s="59"/>
    </row>
    <row r="22" spans="1:34" ht="33" customHeight="1" x14ac:dyDescent="0.25">
      <c r="A22" s="26"/>
      <c r="B22" s="580">
        <v>8</v>
      </c>
      <c r="C22" s="180" t="s">
        <v>43</v>
      </c>
      <c r="D22" s="464"/>
      <c r="E22" s="465"/>
      <c r="F22" s="26"/>
      <c r="G22" s="26"/>
      <c r="H22" s="26"/>
      <c r="I22" s="26"/>
      <c r="J22" s="26"/>
      <c r="K22" s="59"/>
      <c r="L22" s="59"/>
      <c r="M22" s="59"/>
      <c r="N22" s="59"/>
      <c r="O22" s="59"/>
      <c r="P22" s="59"/>
      <c r="Q22" s="59"/>
      <c r="R22" s="59"/>
      <c r="S22" s="59"/>
      <c r="T22" s="59"/>
      <c r="U22" s="59"/>
      <c r="V22" s="59"/>
      <c r="W22" s="59"/>
      <c r="X22" s="59"/>
      <c r="Y22" s="59"/>
      <c r="Z22" s="59"/>
      <c r="AA22" s="59"/>
      <c r="AB22" s="59"/>
      <c r="AC22" s="59"/>
      <c r="AD22" s="59"/>
      <c r="AE22" s="59"/>
      <c r="AF22" s="59"/>
      <c r="AG22" s="59"/>
      <c r="AH22" s="59"/>
    </row>
    <row r="23" spans="1:34" ht="303.75" customHeight="1" thickBot="1" x14ac:dyDescent="0.3">
      <c r="A23" s="26"/>
      <c r="B23" s="581"/>
      <c r="C23" s="207" t="str">
        <f>IF('5. Area Habitats'!D18=0,"",'5. Area Habitats'!D18)</f>
        <v/>
      </c>
      <c r="D23" s="212"/>
      <c r="E23" s="213"/>
      <c r="F23" s="26"/>
      <c r="G23" s="26"/>
      <c r="H23" s="26"/>
      <c r="I23" s="26"/>
      <c r="J23" s="26"/>
      <c r="K23" s="59"/>
      <c r="L23" s="59"/>
      <c r="M23" s="59"/>
      <c r="N23" s="59"/>
      <c r="O23" s="59"/>
      <c r="P23" s="59"/>
      <c r="Q23" s="59"/>
      <c r="R23" s="59"/>
      <c r="S23" s="59"/>
      <c r="T23" s="59"/>
      <c r="U23" s="59"/>
      <c r="V23" s="59"/>
      <c r="W23" s="59"/>
      <c r="X23" s="59"/>
      <c r="Y23" s="59"/>
      <c r="Z23" s="59"/>
      <c r="AA23" s="59"/>
      <c r="AB23" s="59"/>
      <c r="AC23" s="59"/>
      <c r="AD23" s="59"/>
      <c r="AE23" s="59"/>
      <c r="AF23" s="59"/>
      <c r="AG23" s="59"/>
      <c r="AH23" s="59"/>
    </row>
    <row r="24" spans="1:34" ht="33" customHeight="1" x14ac:dyDescent="0.25">
      <c r="A24" s="26"/>
      <c r="B24" s="580">
        <v>9</v>
      </c>
      <c r="C24" s="180" t="s">
        <v>43</v>
      </c>
      <c r="D24" s="464"/>
      <c r="E24" s="465"/>
      <c r="F24" s="26"/>
      <c r="G24" s="26"/>
      <c r="H24" s="26"/>
      <c r="I24" s="26"/>
      <c r="J24" s="26"/>
      <c r="K24" s="59"/>
      <c r="L24" s="59"/>
      <c r="M24" s="59"/>
      <c r="N24" s="59"/>
      <c r="O24" s="59"/>
      <c r="P24" s="59"/>
      <c r="Q24" s="59"/>
      <c r="R24" s="59"/>
      <c r="S24" s="59"/>
      <c r="T24" s="59"/>
      <c r="U24" s="59"/>
      <c r="V24" s="59"/>
      <c r="W24" s="59"/>
      <c r="X24" s="59"/>
      <c r="Y24" s="59"/>
      <c r="Z24" s="59"/>
      <c r="AA24" s="59"/>
      <c r="AB24" s="59"/>
      <c r="AC24" s="59"/>
      <c r="AD24" s="59"/>
      <c r="AE24" s="59"/>
      <c r="AF24" s="59"/>
      <c r="AG24" s="59"/>
      <c r="AH24" s="59"/>
    </row>
    <row r="25" spans="1:34" ht="303.75" customHeight="1" thickBot="1" x14ac:dyDescent="0.3">
      <c r="A25" s="26"/>
      <c r="B25" s="581"/>
      <c r="C25" s="207" t="str">
        <f>IF('5. Area Habitats'!D19=0,"",'5. Area Habitats'!D19)</f>
        <v/>
      </c>
      <c r="D25" s="212"/>
      <c r="E25" s="213"/>
      <c r="F25" s="26"/>
      <c r="G25" s="26"/>
      <c r="H25" s="26"/>
      <c r="I25" s="26"/>
      <c r="J25" s="26"/>
      <c r="K25" s="59"/>
      <c r="L25" s="59"/>
      <c r="M25" s="59"/>
      <c r="N25" s="59"/>
      <c r="O25" s="59"/>
      <c r="P25" s="59"/>
      <c r="Q25" s="59"/>
      <c r="R25" s="59"/>
      <c r="S25" s="59"/>
      <c r="T25" s="59"/>
      <c r="U25" s="59"/>
      <c r="V25" s="59"/>
      <c r="W25" s="59"/>
      <c r="X25" s="59"/>
      <c r="Y25" s="59"/>
      <c r="Z25" s="59"/>
      <c r="AA25" s="59"/>
      <c r="AB25" s="59"/>
      <c r="AC25" s="59"/>
      <c r="AD25" s="59"/>
      <c r="AE25" s="59"/>
      <c r="AF25" s="59"/>
      <c r="AG25" s="59"/>
      <c r="AH25" s="59"/>
    </row>
    <row r="26" spans="1:34" ht="33" customHeight="1" x14ac:dyDescent="0.25">
      <c r="A26" s="26"/>
      <c r="B26" s="580">
        <v>10</v>
      </c>
      <c r="C26" s="180" t="s">
        <v>43</v>
      </c>
      <c r="D26" s="464"/>
      <c r="E26" s="465"/>
      <c r="F26" s="26"/>
      <c r="G26" s="26"/>
      <c r="H26" s="26"/>
      <c r="I26" s="26"/>
      <c r="J26" s="26"/>
      <c r="K26" s="59"/>
      <c r="L26" s="59"/>
      <c r="M26" s="59"/>
      <c r="N26" s="59"/>
      <c r="O26" s="59"/>
      <c r="P26" s="59"/>
      <c r="Q26" s="59"/>
      <c r="R26" s="59"/>
      <c r="S26" s="59"/>
      <c r="T26" s="59"/>
      <c r="U26" s="59"/>
      <c r="V26" s="59"/>
      <c r="W26" s="59"/>
      <c r="X26" s="59"/>
      <c r="Y26" s="59"/>
      <c r="Z26" s="59"/>
      <c r="AA26" s="59"/>
      <c r="AB26" s="59"/>
      <c r="AC26" s="59"/>
      <c r="AD26" s="59"/>
      <c r="AE26" s="59"/>
      <c r="AF26" s="59"/>
      <c r="AG26" s="59"/>
      <c r="AH26" s="59"/>
    </row>
    <row r="27" spans="1:34" ht="303.75" customHeight="1" thickBot="1" x14ac:dyDescent="0.3">
      <c r="A27" s="26"/>
      <c r="B27" s="581"/>
      <c r="C27" s="207" t="str">
        <f>IF('5. Area Habitats'!D20=0,"",'5. Area Habitats'!D20)</f>
        <v/>
      </c>
      <c r="D27" s="212"/>
      <c r="E27" s="213"/>
      <c r="F27" s="26"/>
      <c r="G27" s="26"/>
      <c r="H27" s="26"/>
      <c r="I27" s="26"/>
      <c r="J27" s="26"/>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4" ht="33" customHeight="1" x14ac:dyDescent="0.25">
      <c r="A28" s="26"/>
      <c r="B28" s="580">
        <v>11</v>
      </c>
      <c r="C28" s="180" t="s">
        <v>43</v>
      </c>
      <c r="D28" s="464"/>
      <c r="E28" s="465"/>
      <c r="F28" s="26"/>
      <c r="G28" s="26"/>
      <c r="H28" s="26"/>
      <c r="I28" s="26"/>
      <c r="J28" s="26"/>
      <c r="K28" s="59"/>
      <c r="L28" s="59"/>
      <c r="M28" s="59"/>
      <c r="N28" s="59"/>
      <c r="O28" s="59"/>
      <c r="P28" s="59"/>
      <c r="Q28" s="59"/>
      <c r="R28" s="59"/>
      <c r="S28" s="59"/>
      <c r="T28" s="59"/>
      <c r="U28" s="59"/>
      <c r="V28" s="59"/>
      <c r="W28" s="59"/>
      <c r="X28" s="59"/>
      <c r="Y28" s="59"/>
      <c r="Z28" s="59"/>
      <c r="AA28" s="59"/>
      <c r="AB28" s="59"/>
      <c r="AC28" s="59"/>
      <c r="AD28" s="59"/>
      <c r="AE28" s="59"/>
      <c r="AF28" s="59"/>
      <c r="AG28" s="59"/>
      <c r="AH28" s="59"/>
    </row>
    <row r="29" spans="1:34" ht="303.75" customHeight="1" thickBot="1" x14ac:dyDescent="0.3">
      <c r="A29" s="26"/>
      <c r="B29" s="581"/>
      <c r="C29" s="207" t="str">
        <f>IF('5. Area Habitats'!D21=0,"",'5. Area Habitats'!D21)</f>
        <v/>
      </c>
      <c r="D29" s="212"/>
      <c r="E29" s="213"/>
      <c r="F29" s="26"/>
      <c r="G29" s="26"/>
      <c r="H29" s="26"/>
      <c r="I29" s="26"/>
      <c r="J29" s="26"/>
      <c r="K29" s="59"/>
      <c r="L29" s="59"/>
      <c r="M29" s="59"/>
      <c r="N29" s="59"/>
      <c r="O29" s="59"/>
      <c r="P29" s="59"/>
      <c r="Q29" s="59"/>
      <c r="R29" s="59"/>
      <c r="S29" s="59"/>
      <c r="T29" s="59"/>
      <c r="U29" s="59"/>
      <c r="V29" s="59"/>
      <c r="W29" s="59"/>
      <c r="X29" s="59"/>
      <c r="Y29" s="59"/>
      <c r="Z29" s="59"/>
      <c r="AA29" s="59"/>
      <c r="AB29" s="59"/>
      <c r="AC29" s="59"/>
      <c r="AD29" s="59"/>
      <c r="AE29" s="59"/>
      <c r="AF29" s="59"/>
      <c r="AG29" s="59"/>
      <c r="AH29" s="59"/>
    </row>
    <row r="30" spans="1:34" ht="33" customHeight="1" x14ac:dyDescent="0.25">
      <c r="A30" s="26"/>
      <c r="B30" s="580">
        <v>12</v>
      </c>
      <c r="C30" s="180" t="s">
        <v>43</v>
      </c>
      <c r="D30" s="464"/>
      <c r="E30" s="465"/>
      <c r="F30" s="26"/>
      <c r="G30" s="26"/>
      <c r="H30" s="26"/>
      <c r="I30" s="26"/>
      <c r="J30" s="26"/>
      <c r="K30" s="59"/>
      <c r="L30" s="59"/>
      <c r="M30" s="59"/>
      <c r="N30" s="59"/>
      <c r="O30" s="59"/>
      <c r="P30" s="59"/>
      <c r="Q30" s="59"/>
      <c r="R30" s="59"/>
      <c r="S30" s="59"/>
      <c r="T30" s="59"/>
      <c r="U30" s="59"/>
      <c r="V30" s="59"/>
      <c r="W30" s="59"/>
      <c r="X30" s="59"/>
      <c r="Y30" s="59"/>
      <c r="Z30" s="59"/>
      <c r="AA30" s="59"/>
      <c r="AB30" s="59"/>
      <c r="AC30" s="59"/>
      <c r="AD30" s="59"/>
      <c r="AE30" s="59"/>
      <c r="AF30" s="59"/>
      <c r="AG30" s="59"/>
      <c r="AH30" s="59"/>
    </row>
    <row r="31" spans="1:34" ht="303.75" customHeight="1" thickBot="1" x14ac:dyDescent="0.3">
      <c r="A31" s="26"/>
      <c r="B31" s="581"/>
      <c r="C31" s="207" t="str">
        <f>IF('5. Area Habitats'!D22=0,"",'5. Area Habitats'!D22)</f>
        <v/>
      </c>
      <c r="D31" s="212"/>
      <c r="E31" s="213"/>
      <c r="F31" s="26"/>
      <c r="G31" s="26"/>
      <c r="H31" s="26"/>
      <c r="I31" s="26"/>
      <c r="J31" s="26"/>
      <c r="K31" s="59"/>
      <c r="L31" s="59"/>
      <c r="M31" s="59"/>
      <c r="N31" s="59"/>
      <c r="O31" s="59"/>
      <c r="P31" s="59"/>
      <c r="Q31" s="59"/>
      <c r="R31" s="59"/>
      <c r="S31" s="59"/>
      <c r="T31" s="59"/>
      <c r="U31" s="59"/>
      <c r="V31" s="59"/>
      <c r="W31" s="59"/>
      <c r="X31" s="59"/>
      <c r="Y31" s="59"/>
      <c r="Z31" s="59"/>
      <c r="AA31" s="59"/>
      <c r="AB31" s="59"/>
      <c r="AC31" s="59"/>
      <c r="AD31" s="59"/>
      <c r="AE31" s="59"/>
      <c r="AF31" s="59"/>
      <c r="AG31" s="59"/>
      <c r="AH31" s="59"/>
    </row>
    <row r="32" spans="1:34" ht="33" customHeight="1" x14ac:dyDescent="0.25">
      <c r="A32" s="26"/>
      <c r="B32" s="580">
        <v>13</v>
      </c>
      <c r="C32" s="180" t="s">
        <v>43</v>
      </c>
      <c r="D32" s="464"/>
      <c r="E32" s="465"/>
      <c r="F32" s="26"/>
      <c r="G32" s="26"/>
      <c r="H32" s="26"/>
      <c r="I32" s="26"/>
      <c r="J32" s="26"/>
      <c r="K32" s="59"/>
      <c r="L32" s="59"/>
      <c r="M32" s="59"/>
      <c r="N32" s="59"/>
      <c r="O32" s="59"/>
      <c r="P32" s="59"/>
      <c r="Q32" s="59"/>
      <c r="R32" s="59"/>
      <c r="S32" s="59"/>
      <c r="T32" s="59"/>
      <c r="U32" s="59"/>
      <c r="V32" s="59"/>
      <c r="W32" s="59"/>
      <c r="X32" s="59"/>
      <c r="Y32" s="59"/>
      <c r="Z32" s="59"/>
      <c r="AA32" s="59"/>
      <c r="AB32" s="59"/>
      <c r="AC32" s="59"/>
      <c r="AD32" s="59"/>
      <c r="AE32" s="59"/>
      <c r="AF32" s="59"/>
      <c r="AG32" s="59"/>
      <c r="AH32" s="59"/>
    </row>
    <row r="33" spans="1:34" ht="303.75" customHeight="1" thickBot="1" x14ac:dyDescent="0.3">
      <c r="A33" s="26"/>
      <c r="B33" s="581"/>
      <c r="C33" s="207" t="str">
        <f>IF('5. Area Habitats'!D23=0,"",'5. Area Habitats'!D23)</f>
        <v/>
      </c>
      <c r="D33" s="212"/>
      <c r="E33" s="213"/>
      <c r="F33" s="26"/>
      <c r="G33" s="26"/>
      <c r="H33" s="26"/>
      <c r="I33" s="26"/>
      <c r="J33" s="26"/>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1:34" ht="33" customHeight="1" x14ac:dyDescent="0.25">
      <c r="A34" s="26"/>
      <c r="B34" s="580">
        <v>14</v>
      </c>
      <c r="C34" s="180" t="s">
        <v>43</v>
      </c>
      <c r="D34" s="464"/>
      <c r="E34" s="465"/>
      <c r="F34" s="26"/>
      <c r="G34" s="26"/>
      <c r="H34" s="26"/>
      <c r="I34" s="26"/>
      <c r="J34" s="26"/>
      <c r="K34" s="59"/>
      <c r="L34" s="59"/>
      <c r="M34" s="59"/>
      <c r="N34" s="59"/>
      <c r="O34" s="59"/>
      <c r="P34" s="59"/>
      <c r="Q34" s="59"/>
      <c r="R34" s="59"/>
      <c r="S34" s="59"/>
      <c r="T34" s="59"/>
      <c r="U34" s="59"/>
      <c r="V34" s="59"/>
      <c r="W34" s="59"/>
      <c r="X34" s="59"/>
      <c r="Y34" s="59"/>
      <c r="Z34" s="59"/>
      <c r="AA34" s="59"/>
      <c r="AB34" s="59"/>
      <c r="AC34" s="59"/>
      <c r="AD34" s="59"/>
      <c r="AE34" s="59"/>
      <c r="AF34" s="59"/>
      <c r="AG34" s="59"/>
      <c r="AH34" s="59"/>
    </row>
    <row r="35" spans="1:34" ht="303.75" customHeight="1" thickBot="1" x14ac:dyDescent="0.3">
      <c r="A35" s="26"/>
      <c r="B35" s="581"/>
      <c r="C35" s="207" t="str">
        <f>IF('5. Area Habitats'!D24=0,"",'5. Area Habitats'!D24)</f>
        <v/>
      </c>
      <c r="D35" s="212"/>
      <c r="E35" s="213"/>
      <c r="F35" s="26"/>
      <c r="G35" s="26"/>
      <c r="H35" s="26"/>
      <c r="I35" s="26"/>
      <c r="J35" s="26"/>
      <c r="K35" s="59"/>
      <c r="L35" s="59"/>
      <c r="M35" s="59"/>
      <c r="N35" s="59"/>
      <c r="O35" s="59"/>
      <c r="P35" s="59"/>
      <c r="Q35" s="59"/>
      <c r="R35" s="59"/>
      <c r="S35" s="59"/>
      <c r="T35" s="59"/>
      <c r="U35" s="59"/>
      <c r="V35" s="59"/>
      <c r="W35" s="59"/>
      <c r="X35" s="59"/>
      <c r="Y35" s="59"/>
      <c r="Z35" s="59"/>
      <c r="AA35" s="59"/>
      <c r="AB35" s="59"/>
      <c r="AC35" s="59"/>
      <c r="AD35" s="59"/>
      <c r="AE35" s="59"/>
      <c r="AF35" s="59"/>
      <c r="AG35" s="59"/>
      <c r="AH35" s="59"/>
    </row>
    <row r="36" spans="1:34" ht="33" customHeight="1" x14ac:dyDescent="0.25">
      <c r="A36" s="26"/>
      <c r="B36" s="580">
        <v>15</v>
      </c>
      <c r="C36" s="180" t="s">
        <v>43</v>
      </c>
      <c r="D36" s="464"/>
      <c r="E36" s="465"/>
      <c r="F36" s="26"/>
      <c r="G36" s="26"/>
      <c r="H36" s="26"/>
      <c r="I36" s="26"/>
      <c r="J36" s="26"/>
      <c r="K36" s="59"/>
      <c r="L36" s="59"/>
      <c r="M36" s="59"/>
      <c r="N36" s="59"/>
      <c r="O36" s="59"/>
      <c r="P36" s="59"/>
      <c r="Q36" s="59"/>
      <c r="R36" s="59"/>
      <c r="S36" s="59"/>
      <c r="T36" s="59"/>
      <c r="U36" s="59"/>
      <c r="V36" s="59"/>
      <c r="W36" s="59"/>
      <c r="X36" s="59"/>
      <c r="Y36" s="59"/>
      <c r="Z36" s="59"/>
      <c r="AA36" s="59"/>
      <c r="AB36" s="59"/>
      <c r="AC36" s="59"/>
      <c r="AD36" s="59"/>
      <c r="AE36" s="59"/>
      <c r="AF36" s="59"/>
      <c r="AG36" s="59"/>
      <c r="AH36" s="59"/>
    </row>
    <row r="37" spans="1:34" ht="303.75" customHeight="1" thickBot="1" x14ac:dyDescent="0.3">
      <c r="A37" s="26"/>
      <c r="B37" s="581"/>
      <c r="C37" s="207" t="str">
        <f>IF('5. Area Habitats'!D25=0,"",'5. Area Habitats'!D25)</f>
        <v/>
      </c>
      <c r="D37" s="212"/>
      <c r="E37" s="213"/>
      <c r="F37" s="26"/>
      <c r="G37" s="26"/>
      <c r="H37" s="26"/>
      <c r="I37" s="26"/>
      <c r="J37" s="26"/>
      <c r="K37" s="59"/>
      <c r="L37" s="59"/>
      <c r="M37" s="59"/>
      <c r="N37" s="59"/>
      <c r="O37" s="59"/>
      <c r="P37" s="59"/>
      <c r="Q37" s="59"/>
      <c r="R37" s="59"/>
      <c r="S37" s="59"/>
      <c r="T37" s="59"/>
      <c r="U37" s="59"/>
      <c r="V37" s="59"/>
      <c r="W37" s="59"/>
      <c r="X37" s="59"/>
      <c r="Y37" s="59"/>
      <c r="Z37" s="59"/>
      <c r="AA37" s="59"/>
      <c r="AB37" s="59"/>
      <c r="AC37" s="59"/>
      <c r="AD37" s="59"/>
      <c r="AE37" s="59"/>
      <c r="AF37" s="59"/>
      <c r="AG37" s="59"/>
      <c r="AH37" s="59"/>
    </row>
    <row r="38" spans="1:34" ht="33" customHeight="1" x14ac:dyDescent="0.25">
      <c r="A38" s="26"/>
      <c r="B38" s="580">
        <v>16</v>
      </c>
      <c r="C38" s="180" t="s">
        <v>43</v>
      </c>
      <c r="D38" s="464"/>
      <c r="E38" s="465"/>
      <c r="F38" s="26"/>
      <c r="G38" s="26"/>
      <c r="H38" s="26"/>
      <c r="I38" s="26"/>
      <c r="J38" s="26"/>
      <c r="K38" s="59"/>
      <c r="L38" s="59"/>
      <c r="M38" s="59"/>
      <c r="N38" s="59"/>
      <c r="O38" s="59"/>
      <c r="P38" s="59"/>
      <c r="Q38" s="59"/>
      <c r="R38" s="59"/>
      <c r="S38" s="59"/>
      <c r="T38" s="59"/>
      <c r="U38" s="59"/>
      <c r="V38" s="59"/>
      <c r="W38" s="59"/>
      <c r="X38" s="59"/>
      <c r="Y38" s="59"/>
      <c r="Z38" s="59"/>
      <c r="AA38" s="59"/>
      <c r="AB38" s="59"/>
      <c r="AC38" s="59"/>
      <c r="AD38" s="59"/>
      <c r="AE38" s="59"/>
      <c r="AF38" s="59"/>
      <c r="AG38" s="59"/>
      <c r="AH38" s="59"/>
    </row>
    <row r="39" spans="1:34" ht="303.75" customHeight="1" thickBot="1" x14ac:dyDescent="0.3">
      <c r="A39" s="26"/>
      <c r="B39" s="581"/>
      <c r="C39" s="207" t="str">
        <f>IF('5. Area Habitats'!D26=0,"",'5. Area Habitats'!D26)</f>
        <v/>
      </c>
      <c r="D39" s="212"/>
      <c r="E39" s="213"/>
      <c r="F39" s="26"/>
      <c r="G39" s="26"/>
      <c r="H39" s="26"/>
      <c r="I39" s="26"/>
      <c r="J39" s="26"/>
      <c r="K39" s="59"/>
      <c r="L39" s="59"/>
      <c r="M39" s="59"/>
      <c r="N39" s="59"/>
      <c r="O39" s="59"/>
      <c r="P39" s="59"/>
      <c r="Q39" s="59"/>
      <c r="R39" s="59"/>
      <c r="S39" s="59"/>
      <c r="T39" s="59"/>
      <c r="U39" s="59"/>
      <c r="V39" s="59"/>
      <c r="W39" s="59"/>
      <c r="X39" s="59"/>
      <c r="Y39" s="59"/>
      <c r="Z39" s="59"/>
      <c r="AA39" s="59"/>
      <c r="AB39" s="59"/>
      <c r="AC39" s="59"/>
      <c r="AD39" s="59"/>
      <c r="AE39" s="59"/>
      <c r="AF39" s="59"/>
      <c r="AG39" s="59"/>
      <c r="AH39" s="59"/>
    </row>
    <row r="40" spans="1:34" ht="33" customHeight="1" x14ac:dyDescent="0.25">
      <c r="A40" s="26"/>
      <c r="B40" s="580">
        <v>17</v>
      </c>
      <c r="C40" s="180" t="s">
        <v>43</v>
      </c>
      <c r="D40" s="464"/>
      <c r="E40" s="465"/>
      <c r="F40" s="26"/>
      <c r="G40" s="26"/>
      <c r="H40" s="26"/>
      <c r="I40" s="26"/>
      <c r="J40" s="26"/>
      <c r="K40" s="59"/>
      <c r="L40" s="59"/>
      <c r="M40" s="59"/>
      <c r="N40" s="59"/>
      <c r="O40" s="59"/>
      <c r="P40" s="59"/>
      <c r="Q40" s="59"/>
      <c r="R40" s="59"/>
      <c r="S40" s="59"/>
      <c r="T40" s="59"/>
      <c r="U40" s="59"/>
      <c r="V40" s="59"/>
      <c r="W40" s="59"/>
      <c r="X40" s="59"/>
      <c r="Y40" s="59"/>
      <c r="Z40" s="59"/>
      <c r="AA40" s="59"/>
      <c r="AB40" s="59"/>
      <c r="AC40" s="59"/>
      <c r="AD40" s="59"/>
      <c r="AE40" s="59"/>
      <c r="AF40" s="59"/>
      <c r="AG40" s="59"/>
      <c r="AH40" s="59"/>
    </row>
    <row r="41" spans="1:34" ht="303.75" customHeight="1" thickBot="1" x14ac:dyDescent="0.3">
      <c r="A41" s="26"/>
      <c r="B41" s="581"/>
      <c r="C41" s="207" t="str">
        <f>IF('5. Area Habitats'!D27=0,"",'5. Area Habitats'!D27)</f>
        <v/>
      </c>
      <c r="D41" s="212"/>
      <c r="E41" s="213"/>
      <c r="F41" s="26"/>
      <c r="G41" s="26"/>
      <c r="H41" s="26"/>
      <c r="I41" s="26"/>
      <c r="J41" s="26"/>
      <c r="K41" s="59"/>
      <c r="L41" s="59"/>
      <c r="M41" s="59"/>
      <c r="N41" s="59"/>
      <c r="O41" s="59"/>
      <c r="P41" s="59"/>
      <c r="Q41" s="59"/>
      <c r="R41" s="59"/>
      <c r="S41" s="59"/>
      <c r="T41" s="59"/>
      <c r="U41" s="59"/>
      <c r="V41" s="59"/>
      <c r="W41" s="59"/>
      <c r="X41" s="59"/>
      <c r="Y41" s="59"/>
      <c r="Z41" s="59"/>
      <c r="AA41" s="59"/>
      <c r="AB41" s="59"/>
      <c r="AC41" s="59"/>
      <c r="AD41" s="59"/>
      <c r="AE41" s="59"/>
      <c r="AF41" s="59"/>
      <c r="AG41" s="59"/>
      <c r="AH41" s="59"/>
    </row>
    <row r="42" spans="1:34" ht="33" customHeight="1" x14ac:dyDescent="0.25">
      <c r="A42" s="26"/>
      <c r="B42" s="580">
        <v>18</v>
      </c>
      <c r="C42" s="180" t="s">
        <v>43</v>
      </c>
      <c r="D42" s="464"/>
      <c r="E42" s="465"/>
      <c r="F42" s="26"/>
      <c r="G42" s="26"/>
      <c r="H42" s="26"/>
      <c r="I42" s="26"/>
      <c r="J42" s="26"/>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303.75" customHeight="1" thickBot="1" x14ac:dyDescent="0.3">
      <c r="A43" s="26"/>
      <c r="B43" s="581"/>
      <c r="C43" s="207" t="str">
        <f>IF('5. Area Habitats'!D28=0,"",'5. Area Habitats'!D28)</f>
        <v/>
      </c>
      <c r="D43" s="212"/>
      <c r="E43" s="213"/>
      <c r="F43" s="26"/>
      <c r="G43" s="26"/>
      <c r="H43" s="26"/>
      <c r="I43" s="26"/>
      <c r="J43" s="26"/>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33" customHeight="1" x14ac:dyDescent="0.25">
      <c r="A44" s="26"/>
      <c r="B44" s="580">
        <v>19</v>
      </c>
      <c r="C44" s="180" t="s">
        <v>43</v>
      </c>
      <c r="D44" s="464"/>
      <c r="E44" s="465"/>
      <c r="F44" s="26"/>
      <c r="G44" s="26"/>
      <c r="H44" s="26"/>
      <c r="I44" s="26"/>
      <c r="J44" s="26"/>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4" ht="303.75" customHeight="1" thickBot="1" x14ac:dyDescent="0.3">
      <c r="A45" s="26"/>
      <c r="B45" s="581"/>
      <c r="C45" s="207" t="str">
        <f>IF('5. Area Habitats'!D29=0,"",'5. Area Habitats'!D29)</f>
        <v/>
      </c>
      <c r="D45" s="212"/>
      <c r="E45" s="213"/>
      <c r="F45" s="26"/>
      <c r="G45" s="26"/>
      <c r="H45" s="26"/>
      <c r="I45" s="26"/>
      <c r="J45" s="26"/>
      <c r="K45" s="59"/>
      <c r="L45" s="59"/>
      <c r="M45" s="59"/>
      <c r="N45" s="59"/>
      <c r="O45" s="59"/>
      <c r="P45" s="59"/>
      <c r="Q45" s="59"/>
      <c r="R45" s="59"/>
      <c r="S45" s="59"/>
      <c r="T45" s="59"/>
      <c r="U45" s="59"/>
      <c r="V45" s="59"/>
      <c r="W45" s="59"/>
      <c r="X45" s="59"/>
      <c r="Y45" s="59"/>
      <c r="Z45" s="59"/>
      <c r="AA45" s="59"/>
      <c r="AB45" s="59"/>
      <c r="AC45" s="59"/>
      <c r="AD45" s="59"/>
      <c r="AE45" s="59"/>
      <c r="AF45" s="59"/>
      <c r="AG45" s="59"/>
      <c r="AH45" s="59"/>
    </row>
    <row r="46" spans="1:34" ht="33" customHeight="1" x14ac:dyDescent="0.25">
      <c r="A46" s="26"/>
      <c r="B46" s="580">
        <v>20</v>
      </c>
      <c r="C46" s="180" t="s">
        <v>43</v>
      </c>
      <c r="D46" s="464"/>
      <c r="E46" s="465"/>
      <c r="F46" s="26"/>
      <c r="G46" s="26"/>
      <c r="H46" s="26"/>
      <c r="I46" s="26"/>
      <c r="J46" s="26"/>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34" ht="303.75" customHeight="1" thickBot="1" x14ac:dyDescent="0.3">
      <c r="A47" s="26"/>
      <c r="B47" s="581"/>
      <c r="C47" s="207" t="str">
        <f>IF('5. Area Habitats'!D30=0,"",'5. Area Habitats'!D30)</f>
        <v/>
      </c>
      <c r="D47" s="212"/>
      <c r="E47" s="213"/>
      <c r="F47" s="26"/>
      <c r="G47" s="26"/>
      <c r="H47" s="26"/>
      <c r="I47" s="26"/>
      <c r="J47" s="26"/>
      <c r="K47" s="59"/>
      <c r="L47" s="59"/>
      <c r="M47" s="59"/>
      <c r="N47" s="59"/>
      <c r="O47" s="59"/>
      <c r="P47" s="59"/>
      <c r="Q47" s="59"/>
      <c r="R47" s="59"/>
      <c r="S47" s="59"/>
      <c r="T47" s="59"/>
      <c r="U47" s="59"/>
      <c r="V47" s="59"/>
      <c r="W47" s="59"/>
      <c r="X47" s="59"/>
      <c r="Y47" s="59"/>
      <c r="Z47" s="59"/>
      <c r="AA47" s="59"/>
      <c r="AB47" s="59"/>
      <c r="AC47" s="59"/>
      <c r="AD47" s="59"/>
      <c r="AE47" s="59"/>
      <c r="AF47" s="59"/>
      <c r="AG47" s="59"/>
      <c r="AH47" s="59"/>
    </row>
    <row r="48" spans="1:34" x14ac:dyDescent="0.25">
      <c r="A48" s="26"/>
      <c r="B48" s="26"/>
      <c r="C48" s="26"/>
      <c r="D48" s="26"/>
      <c r="E48" s="26"/>
      <c r="F48" s="26"/>
      <c r="G48" s="26"/>
      <c r="H48" s="26"/>
      <c r="I48" s="26"/>
      <c r="J48" s="26"/>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x14ac:dyDescent="0.25">
      <c r="A49" s="26"/>
      <c r="B49" s="26"/>
      <c r="C49" s="26"/>
      <c r="D49" s="26"/>
      <c r="E49" s="26"/>
      <c r="F49" s="26"/>
      <c r="G49" s="26"/>
      <c r="H49" s="26"/>
      <c r="I49" s="26"/>
      <c r="J49" s="26"/>
      <c r="K49" s="59"/>
      <c r="L49" s="59"/>
      <c r="M49" s="59"/>
      <c r="N49" s="59"/>
      <c r="O49" s="59"/>
      <c r="P49" s="59"/>
      <c r="Q49" s="59"/>
      <c r="R49" s="59"/>
      <c r="S49" s="59"/>
      <c r="T49" s="59"/>
      <c r="U49" s="59"/>
      <c r="V49" s="59"/>
      <c r="W49" s="59"/>
      <c r="X49" s="59"/>
      <c r="Y49" s="59"/>
      <c r="Z49" s="59"/>
      <c r="AA49" s="59"/>
      <c r="AB49" s="59"/>
      <c r="AC49" s="59"/>
      <c r="AD49" s="59"/>
      <c r="AE49" s="59"/>
      <c r="AF49" s="59"/>
      <c r="AG49" s="59"/>
      <c r="AH49" s="59"/>
    </row>
    <row r="50" spans="1:34" x14ac:dyDescent="0.25">
      <c r="A50" s="26"/>
      <c r="B50" s="26"/>
      <c r="C50" s="26"/>
      <c r="D50" s="26"/>
      <c r="E50" s="26"/>
      <c r="F50" s="26"/>
      <c r="G50" s="26"/>
      <c r="H50" s="26"/>
      <c r="I50" s="26"/>
      <c r="J50" s="26"/>
      <c r="K50" s="59"/>
      <c r="L50" s="59"/>
      <c r="M50" s="59"/>
      <c r="N50" s="59"/>
      <c r="O50" s="59"/>
      <c r="P50" s="59"/>
      <c r="Q50" s="59"/>
      <c r="R50" s="59"/>
      <c r="S50" s="59"/>
      <c r="T50" s="59"/>
      <c r="U50" s="59"/>
      <c r="V50" s="59"/>
      <c r="W50" s="59"/>
      <c r="X50" s="59"/>
      <c r="Y50" s="59"/>
      <c r="Z50" s="59"/>
      <c r="AA50" s="59"/>
      <c r="AB50" s="59"/>
      <c r="AC50" s="59"/>
      <c r="AD50" s="59"/>
      <c r="AE50" s="59"/>
      <c r="AF50" s="59"/>
      <c r="AG50" s="59"/>
      <c r="AH50" s="59"/>
    </row>
    <row r="51" spans="1:34" x14ac:dyDescent="0.25">
      <c r="A51" s="26"/>
      <c r="B51" s="26"/>
      <c r="C51" s="26"/>
      <c r="D51" s="26"/>
      <c r="E51" s="26"/>
      <c r="F51" s="26"/>
      <c r="G51" s="26"/>
      <c r="H51" s="26"/>
      <c r="I51" s="26"/>
      <c r="J51" s="26"/>
      <c r="K51" s="59"/>
      <c r="L51" s="59"/>
      <c r="M51" s="59"/>
      <c r="N51" s="59"/>
      <c r="O51" s="59"/>
      <c r="P51" s="59"/>
      <c r="Q51" s="59"/>
      <c r="R51" s="59"/>
      <c r="S51" s="59"/>
      <c r="T51" s="59"/>
      <c r="U51" s="59"/>
      <c r="V51" s="59"/>
      <c r="W51" s="59"/>
      <c r="X51" s="59"/>
      <c r="Y51" s="59"/>
      <c r="Z51" s="59"/>
      <c r="AA51" s="59"/>
      <c r="AB51" s="59"/>
      <c r="AC51" s="59"/>
      <c r="AD51" s="59"/>
      <c r="AE51" s="59"/>
      <c r="AF51" s="59"/>
      <c r="AG51" s="59"/>
      <c r="AH51" s="59"/>
    </row>
    <row r="52" spans="1:34" hidden="1" x14ac:dyDescent="0.25">
      <c r="A52" s="26"/>
      <c r="B52" s="26"/>
      <c r="C52" s="26"/>
      <c r="D52" s="26"/>
      <c r="E52" s="26"/>
      <c r="F52" s="26"/>
      <c r="G52" s="26"/>
      <c r="H52" s="26"/>
      <c r="I52" s="26"/>
      <c r="J52" s="26"/>
      <c r="K52" s="59"/>
      <c r="L52" s="59"/>
      <c r="M52" s="59"/>
      <c r="N52" s="59"/>
      <c r="O52" s="59"/>
      <c r="P52" s="59"/>
      <c r="Q52" s="59"/>
      <c r="R52" s="59"/>
      <c r="S52" s="59"/>
      <c r="T52" s="59"/>
      <c r="U52" s="59"/>
      <c r="V52" s="59"/>
      <c r="W52" s="59"/>
      <c r="X52" s="59"/>
      <c r="Y52" s="59"/>
      <c r="Z52" s="59"/>
      <c r="AA52" s="59"/>
      <c r="AB52" s="59"/>
      <c r="AC52" s="59"/>
      <c r="AD52" s="59"/>
      <c r="AE52" s="59"/>
      <c r="AF52" s="59"/>
      <c r="AG52" s="59"/>
      <c r="AH52" s="59"/>
    </row>
    <row r="53" spans="1:34" hidden="1" x14ac:dyDescent="0.25">
      <c r="A53" s="26"/>
      <c r="B53" s="26"/>
      <c r="C53" s="26"/>
      <c r="D53" s="26"/>
      <c r="E53" s="26"/>
      <c r="F53" s="26"/>
      <c r="G53" s="26"/>
      <c r="H53" s="26"/>
      <c r="I53" s="26"/>
      <c r="J53" s="26"/>
      <c r="K53" s="59"/>
      <c r="L53" s="59"/>
      <c r="M53" s="59"/>
      <c r="N53" s="59"/>
      <c r="O53" s="59"/>
      <c r="P53" s="59"/>
      <c r="Q53" s="59"/>
      <c r="R53" s="59"/>
      <c r="S53" s="59"/>
      <c r="T53" s="59"/>
      <c r="U53" s="59"/>
      <c r="V53" s="59"/>
      <c r="W53" s="59"/>
      <c r="X53" s="59"/>
      <c r="Y53" s="59"/>
      <c r="Z53" s="59"/>
      <c r="AA53" s="59"/>
      <c r="AB53" s="59"/>
      <c r="AC53" s="59"/>
      <c r="AD53" s="59"/>
      <c r="AE53" s="59"/>
      <c r="AF53" s="59"/>
      <c r="AG53" s="59"/>
      <c r="AH53" s="59"/>
    </row>
    <row r="54" spans="1:34" hidden="1" x14ac:dyDescent="0.25">
      <c r="A54" s="26"/>
      <c r="B54" s="26"/>
      <c r="C54" s="26"/>
      <c r="D54" s="26"/>
      <c r="E54" s="26"/>
      <c r="F54" s="26"/>
      <c r="G54" s="26"/>
      <c r="H54" s="26"/>
      <c r="I54" s="26"/>
      <c r="J54" s="26"/>
      <c r="K54" s="59"/>
      <c r="L54" s="59"/>
      <c r="M54" s="59"/>
      <c r="N54" s="59"/>
      <c r="O54" s="59"/>
      <c r="P54" s="59"/>
      <c r="Q54" s="59"/>
      <c r="R54" s="59"/>
      <c r="S54" s="59"/>
      <c r="T54" s="59"/>
      <c r="U54" s="59"/>
      <c r="V54" s="59"/>
      <c r="W54" s="59"/>
      <c r="X54" s="59"/>
      <c r="Y54" s="59"/>
      <c r="Z54" s="59"/>
      <c r="AA54" s="59"/>
      <c r="AB54" s="59"/>
      <c r="AC54" s="59"/>
      <c r="AD54" s="59"/>
      <c r="AE54" s="59"/>
      <c r="AF54" s="59"/>
      <c r="AG54" s="59"/>
      <c r="AH54" s="59"/>
    </row>
    <row r="55" spans="1:34" hidden="1" x14ac:dyDescent="0.25">
      <c r="A55" s="26"/>
      <c r="B55" s="26"/>
      <c r="C55" s="26"/>
      <c r="D55" s="26"/>
      <c r="E55" s="26"/>
      <c r="F55" s="26"/>
      <c r="G55" s="26"/>
      <c r="H55" s="26"/>
      <c r="I55" s="26"/>
      <c r="J55" s="26"/>
      <c r="K55" s="59"/>
      <c r="L55" s="59"/>
      <c r="M55" s="59"/>
      <c r="N55" s="59"/>
      <c r="O55" s="59"/>
      <c r="P55" s="59"/>
      <c r="Q55" s="59"/>
      <c r="R55" s="59"/>
      <c r="S55" s="59"/>
      <c r="T55" s="59"/>
      <c r="U55" s="59"/>
      <c r="V55" s="59"/>
      <c r="W55" s="59"/>
      <c r="X55" s="59"/>
      <c r="Y55" s="59"/>
      <c r="Z55" s="59"/>
      <c r="AA55" s="59"/>
      <c r="AB55" s="59"/>
      <c r="AC55" s="59"/>
      <c r="AD55" s="59"/>
      <c r="AE55" s="59"/>
      <c r="AF55" s="59"/>
      <c r="AG55" s="59"/>
      <c r="AH55" s="59"/>
    </row>
    <row r="56" spans="1:34" hidden="1" x14ac:dyDescent="0.25">
      <c r="A56" s="26"/>
      <c r="B56" s="26"/>
      <c r="C56" s="26"/>
      <c r="D56" s="26"/>
      <c r="E56" s="26"/>
      <c r="F56" s="26"/>
      <c r="G56" s="26"/>
      <c r="H56" s="26"/>
      <c r="I56" s="26"/>
      <c r="J56" s="26"/>
      <c r="K56" s="59"/>
      <c r="L56" s="59"/>
      <c r="M56" s="59"/>
      <c r="N56" s="59"/>
      <c r="O56" s="59"/>
      <c r="P56" s="59"/>
      <c r="Q56" s="59"/>
      <c r="R56" s="59"/>
      <c r="S56" s="59"/>
      <c r="T56" s="59"/>
      <c r="U56" s="59"/>
      <c r="V56" s="59"/>
      <c r="W56" s="59"/>
      <c r="X56" s="59"/>
      <c r="Y56" s="59"/>
      <c r="Z56" s="59"/>
      <c r="AA56" s="59"/>
      <c r="AB56" s="59"/>
      <c r="AC56" s="59"/>
      <c r="AD56" s="59"/>
      <c r="AE56" s="59"/>
      <c r="AF56" s="59"/>
      <c r="AG56" s="59"/>
      <c r="AH56" s="59"/>
    </row>
    <row r="57" spans="1:34" hidden="1" x14ac:dyDescent="0.25">
      <c r="A57" s="26"/>
      <c r="B57" s="26"/>
      <c r="C57" s="26"/>
      <c r="D57" s="26"/>
      <c r="E57" s="26"/>
      <c r="F57" s="26"/>
      <c r="G57" s="26"/>
      <c r="H57" s="26"/>
      <c r="I57" s="26"/>
      <c r="J57" s="26"/>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1:34" hidden="1" x14ac:dyDescent="0.25">
      <c r="A58" s="26"/>
      <c r="B58" s="26"/>
      <c r="C58" s="26"/>
      <c r="D58" s="26"/>
      <c r="E58" s="26"/>
      <c r="F58" s="26"/>
      <c r="G58" s="26"/>
      <c r="H58" s="26"/>
      <c r="I58" s="26"/>
      <c r="J58" s="26"/>
      <c r="K58" s="59"/>
      <c r="L58" s="59"/>
      <c r="M58" s="59"/>
      <c r="N58" s="59"/>
      <c r="O58" s="59"/>
      <c r="P58" s="59"/>
      <c r="Q58" s="59"/>
      <c r="R58" s="59"/>
      <c r="S58" s="59"/>
      <c r="T58" s="59"/>
      <c r="U58" s="59"/>
      <c r="V58" s="59"/>
      <c r="W58" s="59"/>
      <c r="X58" s="59"/>
      <c r="Y58" s="59"/>
      <c r="Z58" s="59"/>
      <c r="AA58" s="59"/>
      <c r="AB58" s="59"/>
      <c r="AC58" s="59"/>
      <c r="AD58" s="59"/>
      <c r="AE58" s="59"/>
      <c r="AF58" s="59"/>
      <c r="AG58" s="59"/>
      <c r="AH58" s="59"/>
    </row>
    <row r="59" spans="1:34" hidden="1" x14ac:dyDescent="0.25">
      <c r="A59" s="26"/>
      <c r="B59" s="26"/>
      <c r="C59" s="26"/>
      <c r="D59" s="26"/>
      <c r="E59" s="26"/>
      <c r="F59" s="26"/>
      <c r="G59" s="26"/>
      <c r="H59" s="26"/>
      <c r="I59" s="26"/>
      <c r="J59" s="26"/>
      <c r="K59" s="59"/>
      <c r="L59" s="59"/>
      <c r="M59" s="59"/>
      <c r="N59" s="59"/>
      <c r="O59" s="59"/>
      <c r="P59" s="59"/>
      <c r="Q59" s="59"/>
      <c r="R59" s="59"/>
      <c r="S59" s="59"/>
      <c r="T59" s="59"/>
      <c r="U59" s="59"/>
      <c r="V59" s="59"/>
      <c r="W59" s="59"/>
      <c r="X59" s="59"/>
      <c r="Y59" s="59"/>
      <c r="Z59" s="59"/>
      <c r="AA59" s="59"/>
      <c r="AB59" s="59"/>
      <c r="AC59" s="59"/>
      <c r="AD59" s="59"/>
      <c r="AE59" s="59"/>
      <c r="AF59" s="59"/>
      <c r="AG59" s="59"/>
      <c r="AH59" s="59"/>
    </row>
    <row r="60" spans="1:34" hidden="1" x14ac:dyDescent="0.25">
      <c r="A60" s="26"/>
      <c r="B60" s="26"/>
      <c r="C60" s="26"/>
      <c r="D60" s="26"/>
      <c r="E60" s="26"/>
      <c r="F60" s="26"/>
      <c r="G60" s="26"/>
      <c r="H60" s="26"/>
      <c r="I60" s="26"/>
      <c r="J60" s="26"/>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spans="1:34" hidden="1" x14ac:dyDescent="0.25">
      <c r="A61" s="26"/>
      <c r="B61" s="26"/>
      <c r="C61" s="26"/>
      <c r="D61" s="26"/>
      <c r="E61" s="26"/>
      <c r="F61" s="26"/>
      <c r="G61" s="26"/>
      <c r="H61" s="26"/>
      <c r="I61" s="26"/>
      <c r="J61" s="26"/>
      <c r="K61" s="59"/>
      <c r="L61" s="59"/>
      <c r="M61" s="59"/>
      <c r="N61" s="59"/>
      <c r="O61" s="59"/>
      <c r="P61" s="59"/>
      <c r="Q61" s="59"/>
      <c r="R61" s="59"/>
      <c r="S61" s="59"/>
      <c r="T61" s="59"/>
      <c r="U61" s="59"/>
      <c r="V61" s="59"/>
      <c r="W61" s="59"/>
      <c r="X61" s="59"/>
      <c r="Y61" s="59"/>
      <c r="Z61" s="59"/>
      <c r="AA61" s="59"/>
      <c r="AB61" s="59"/>
      <c r="AC61" s="59"/>
      <c r="AD61" s="59"/>
      <c r="AE61" s="59"/>
      <c r="AF61" s="59"/>
      <c r="AG61" s="59"/>
      <c r="AH61" s="59"/>
    </row>
    <row r="62" spans="1:34" hidden="1" x14ac:dyDescent="0.25">
      <c r="A62" s="26"/>
      <c r="B62" s="26"/>
      <c r="C62" s="26"/>
      <c r="D62" s="26"/>
      <c r="E62" s="26"/>
      <c r="F62" s="26"/>
      <c r="G62" s="26"/>
      <c r="H62" s="26"/>
      <c r="I62" s="26"/>
      <c r="J62" s="26"/>
      <c r="K62" s="59"/>
      <c r="L62" s="59"/>
      <c r="M62" s="59"/>
      <c r="N62" s="59"/>
      <c r="O62" s="59"/>
      <c r="P62" s="59"/>
      <c r="Q62" s="59"/>
      <c r="R62" s="59"/>
      <c r="S62" s="59"/>
      <c r="T62" s="59"/>
      <c r="U62" s="59"/>
      <c r="V62" s="59"/>
      <c r="W62" s="59"/>
      <c r="X62" s="59"/>
      <c r="Y62" s="59"/>
      <c r="Z62" s="59"/>
      <c r="AA62" s="59"/>
      <c r="AB62" s="59"/>
      <c r="AC62" s="59"/>
      <c r="AD62" s="59"/>
      <c r="AE62" s="59"/>
      <c r="AF62" s="59"/>
      <c r="AG62" s="59"/>
      <c r="AH62" s="59"/>
    </row>
    <row r="63" spans="1:34" hidden="1" x14ac:dyDescent="0.25">
      <c r="A63" s="26"/>
      <c r="B63" s="26"/>
      <c r="C63" s="26"/>
      <c r="D63" s="26"/>
      <c r="E63" s="26"/>
      <c r="F63" s="26"/>
      <c r="G63" s="26"/>
      <c r="H63" s="26"/>
      <c r="I63" s="26"/>
      <c r="J63" s="26"/>
      <c r="K63" s="59"/>
      <c r="L63" s="59"/>
      <c r="M63" s="59"/>
      <c r="N63" s="59"/>
      <c r="O63" s="59"/>
      <c r="P63" s="59"/>
      <c r="Q63" s="59"/>
      <c r="R63" s="59"/>
      <c r="S63" s="59"/>
      <c r="T63" s="59"/>
      <c r="U63" s="59"/>
      <c r="V63" s="59"/>
      <c r="W63" s="59"/>
      <c r="X63" s="59"/>
      <c r="Y63" s="59"/>
      <c r="Z63" s="59"/>
      <c r="AA63" s="59"/>
      <c r="AB63" s="59"/>
      <c r="AC63" s="59"/>
      <c r="AD63" s="59"/>
      <c r="AE63" s="59"/>
      <c r="AF63" s="59"/>
      <c r="AG63" s="59"/>
      <c r="AH63" s="59"/>
    </row>
    <row r="64" spans="1:34" hidden="1" x14ac:dyDescent="0.25">
      <c r="A64" s="26"/>
      <c r="B64" s="26"/>
      <c r="C64" s="26"/>
      <c r="D64" s="26"/>
      <c r="E64" s="26"/>
      <c r="F64" s="26"/>
      <c r="G64" s="26"/>
      <c r="H64" s="26"/>
      <c r="I64" s="26"/>
      <c r="J64" s="26"/>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1:34" hidden="1" x14ac:dyDescent="0.25">
      <c r="A65" s="26"/>
      <c r="B65" s="26"/>
      <c r="C65" s="26"/>
      <c r="D65" s="26"/>
      <c r="E65" s="26"/>
      <c r="F65" s="26"/>
      <c r="G65" s="26"/>
      <c r="H65" s="26"/>
      <c r="I65" s="26"/>
      <c r="J65" s="26"/>
      <c r="K65" s="59"/>
      <c r="L65" s="59"/>
      <c r="M65" s="59"/>
      <c r="N65" s="59"/>
      <c r="O65" s="59"/>
      <c r="P65" s="59"/>
      <c r="Q65" s="59"/>
      <c r="R65" s="59"/>
      <c r="S65" s="59"/>
      <c r="T65" s="59"/>
      <c r="U65" s="59"/>
      <c r="V65" s="59"/>
      <c r="W65" s="59"/>
      <c r="X65" s="59"/>
      <c r="Y65" s="59"/>
      <c r="Z65" s="59"/>
      <c r="AA65" s="59"/>
      <c r="AB65" s="59"/>
      <c r="AC65" s="59"/>
      <c r="AD65" s="59"/>
      <c r="AE65" s="59"/>
      <c r="AF65" s="59"/>
      <c r="AG65" s="59"/>
      <c r="AH65" s="59"/>
    </row>
    <row r="66" spans="1:34" hidden="1" x14ac:dyDescent="0.25">
      <c r="A66" s="26"/>
      <c r="B66" s="26"/>
      <c r="C66" s="26"/>
      <c r="D66" s="26"/>
      <c r="E66" s="26"/>
      <c r="F66" s="26"/>
      <c r="G66" s="26"/>
      <c r="H66" s="26"/>
      <c r="I66" s="26"/>
      <c r="J66" s="26"/>
      <c r="K66" s="59"/>
      <c r="L66" s="59"/>
      <c r="M66" s="59"/>
      <c r="N66" s="59"/>
      <c r="O66" s="59"/>
      <c r="P66" s="59"/>
      <c r="Q66" s="59"/>
      <c r="R66" s="59"/>
      <c r="S66" s="59"/>
      <c r="T66" s="59"/>
      <c r="U66" s="59"/>
      <c r="V66" s="59"/>
      <c r="W66" s="59"/>
      <c r="X66" s="59"/>
      <c r="Y66" s="59"/>
      <c r="Z66" s="59"/>
      <c r="AA66" s="59"/>
      <c r="AB66" s="59"/>
      <c r="AC66" s="59"/>
      <c r="AD66" s="59"/>
      <c r="AE66" s="59"/>
      <c r="AF66" s="59"/>
      <c r="AG66" s="59"/>
      <c r="AH66" s="59"/>
    </row>
    <row r="67" spans="1:34" hidden="1" x14ac:dyDescent="0.25">
      <c r="A67" s="26"/>
      <c r="B67" s="26"/>
      <c r="C67" s="26"/>
      <c r="D67" s="26"/>
      <c r="E67" s="26"/>
      <c r="F67" s="26"/>
      <c r="G67" s="26"/>
      <c r="H67" s="26"/>
      <c r="I67" s="26"/>
      <c r="J67" s="26"/>
      <c r="K67" s="59"/>
      <c r="L67" s="59"/>
      <c r="M67" s="59"/>
      <c r="N67" s="59"/>
      <c r="O67" s="59"/>
      <c r="P67" s="59"/>
      <c r="Q67" s="59"/>
      <c r="R67" s="59"/>
      <c r="S67" s="59"/>
      <c r="T67" s="59"/>
      <c r="U67" s="59"/>
      <c r="V67" s="59"/>
      <c r="W67" s="59"/>
      <c r="X67" s="59"/>
      <c r="Y67" s="59"/>
      <c r="Z67" s="59"/>
      <c r="AA67" s="59"/>
      <c r="AB67" s="59"/>
      <c r="AC67" s="59"/>
      <c r="AD67" s="59"/>
      <c r="AE67" s="59"/>
      <c r="AF67" s="59"/>
      <c r="AG67" s="59"/>
      <c r="AH67" s="59"/>
    </row>
    <row r="68" spans="1:34" hidden="1" x14ac:dyDescent="0.25">
      <c r="A68" s="26"/>
      <c r="B68" s="26"/>
      <c r="C68" s="26"/>
      <c r="D68" s="26"/>
      <c r="E68" s="26"/>
      <c r="F68" s="26"/>
      <c r="G68" s="26"/>
      <c r="H68" s="26"/>
      <c r="I68" s="26"/>
      <c r="J68" s="26"/>
      <c r="K68" s="59"/>
      <c r="L68" s="59"/>
      <c r="M68" s="59"/>
      <c r="N68" s="59"/>
      <c r="O68" s="59"/>
      <c r="P68" s="59"/>
      <c r="Q68" s="59"/>
      <c r="R68" s="59"/>
      <c r="S68" s="59"/>
      <c r="T68" s="59"/>
      <c r="U68" s="59"/>
      <c r="V68" s="59"/>
      <c r="W68" s="59"/>
      <c r="X68" s="59"/>
      <c r="Y68" s="59"/>
      <c r="Z68" s="59"/>
      <c r="AA68" s="59"/>
      <c r="AB68" s="59"/>
      <c r="AC68" s="59"/>
      <c r="AD68" s="59"/>
      <c r="AE68" s="59"/>
      <c r="AF68" s="59"/>
      <c r="AG68" s="59"/>
      <c r="AH68" s="59"/>
    </row>
    <row r="69" spans="1:34" hidden="1" x14ac:dyDescent="0.25">
      <c r="A69" s="26"/>
      <c r="B69" s="26"/>
      <c r="C69" s="26"/>
      <c r="D69" s="26"/>
      <c r="E69" s="26"/>
      <c r="F69" s="26"/>
      <c r="G69" s="26"/>
      <c r="H69" s="26"/>
      <c r="I69" s="26"/>
      <c r="J69" s="26"/>
      <c r="K69" s="59"/>
      <c r="L69" s="59"/>
      <c r="M69" s="59"/>
      <c r="N69" s="59"/>
      <c r="O69" s="59"/>
      <c r="P69" s="59"/>
      <c r="Q69" s="59"/>
      <c r="R69" s="59"/>
      <c r="S69" s="59"/>
      <c r="T69" s="59"/>
      <c r="U69" s="59"/>
      <c r="V69" s="59"/>
      <c r="W69" s="59"/>
      <c r="X69" s="59"/>
      <c r="Y69" s="59"/>
      <c r="Z69" s="59"/>
      <c r="AA69" s="59"/>
      <c r="AB69" s="59"/>
      <c r="AC69" s="59"/>
      <c r="AD69" s="59"/>
      <c r="AE69" s="59"/>
      <c r="AF69" s="59"/>
      <c r="AG69" s="59"/>
      <c r="AH69" s="59"/>
    </row>
    <row r="70" spans="1:34" hidden="1" x14ac:dyDescent="0.25">
      <c r="A70" s="26"/>
      <c r="B70" s="26"/>
      <c r="C70" s="26"/>
      <c r="D70" s="26"/>
      <c r="E70" s="26"/>
      <c r="F70" s="26"/>
      <c r="G70" s="26"/>
      <c r="H70" s="26"/>
      <c r="I70" s="26"/>
      <c r="J70" s="26"/>
      <c r="K70" s="59"/>
      <c r="L70" s="59"/>
      <c r="M70" s="59"/>
      <c r="N70" s="59"/>
      <c r="O70" s="59"/>
      <c r="P70" s="59"/>
      <c r="Q70" s="59"/>
      <c r="R70" s="59"/>
      <c r="S70" s="59"/>
      <c r="T70" s="59"/>
      <c r="U70" s="59"/>
      <c r="V70" s="59"/>
      <c r="W70" s="59"/>
      <c r="X70" s="59"/>
      <c r="Y70" s="59"/>
      <c r="Z70" s="59"/>
      <c r="AA70" s="59"/>
      <c r="AB70" s="59"/>
      <c r="AC70" s="59"/>
      <c r="AD70" s="59"/>
      <c r="AE70" s="59"/>
      <c r="AF70" s="59"/>
      <c r="AG70" s="59"/>
      <c r="AH70" s="59"/>
    </row>
    <row r="71" spans="1:34" hidden="1" x14ac:dyDescent="0.25">
      <c r="A71" s="26"/>
      <c r="B71" s="26"/>
      <c r="C71" s="26"/>
      <c r="D71" s="26"/>
      <c r="E71" s="26"/>
      <c r="F71" s="26"/>
      <c r="G71" s="26"/>
      <c r="H71" s="26"/>
      <c r="I71" s="26"/>
      <c r="J71" s="26"/>
      <c r="K71" s="59"/>
      <c r="L71" s="59"/>
      <c r="M71" s="59"/>
      <c r="N71" s="59"/>
      <c r="O71" s="59"/>
      <c r="P71" s="59"/>
      <c r="Q71" s="59"/>
      <c r="R71" s="59"/>
      <c r="S71" s="59"/>
      <c r="T71" s="59"/>
      <c r="U71" s="59"/>
      <c r="V71" s="59"/>
      <c r="W71" s="59"/>
      <c r="X71" s="59"/>
      <c r="Y71" s="59"/>
      <c r="Z71" s="59"/>
      <c r="AA71" s="59"/>
      <c r="AB71" s="59"/>
      <c r="AC71" s="59"/>
      <c r="AD71" s="59"/>
      <c r="AE71" s="59"/>
      <c r="AF71" s="59"/>
      <c r="AG71" s="59"/>
      <c r="AH71" s="59"/>
    </row>
    <row r="72" spans="1:34" hidden="1" x14ac:dyDescent="0.25">
      <c r="A72" s="26"/>
      <c r="B72" s="26"/>
      <c r="C72" s="26"/>
      <c r="D72" s="26"/>
      <c r="E72" s="26"/>
      <c r="F72" s="26"/>
      <c r="G72" s="26"/>
      <c r="H72" s="26"/>
      <c r="I72" s="26"/>
      <c r="J72" s="26"/>
      <c r="K72" s="59"/>
      <c r="L72" s="59"/>
      <c r="M72" s="59"/>
      <c r="N72" s="59"/>
      <c r="O72" s="59"/>
      <c r="P72" s="59"/>
      <c r="Q72" s="59"/>
      <c r="R72" s="59"/>
      <c r="S72" s="59"/>
      <c r="T72" s="59"/>
      <c r="U72" s="59"/>
      <c r="V72" s="59"/>
      <c r="W72" s="59"/>
      <c r="X72" s="59"/>
      <c r="Y72" s="59"/>
      <c r="Z72" s="59"/>
      <c r="AA72" s="59"/>
      <c r="AB72" s="59"/>
      <c r="AC72" s="59"/>
      <c r="AD72" s="59"/>
      <c r="AE72" s="59"/>
      <c r="AF72" s="59"/>
      <c r="AG72" s="59"/>
      <c r="AH72" s="59"/>
    </row>
    <row r="73" spans="1:34" hidden="1" x14ac:dyDescent="0.25">
      <c r="A73" s="26"/>
      <c r="B73" s="26"/>
      <c r="C73" s="26"/>
      <c r="D73" s="26"/>
      <c r="E73" s="26"/>
      <c r="F73" s="26"/>
      <c r="G73" s="26"/>
      <c r="H73" s="26"/>
      <c r="I73" s="26"/>
      <c r="J73" s="26"/>
      <c r="K73" s="59"/>
      <c r="L73" s="59"/>
      <c r="M73" s="59"/>
      <c r="N73" s="59"/>
      <c r="O73" s="59"/>
      <c r="P73" s="59"/>
      <c r="Q73" s="59"/>
      <c r="R73" s="59"/>
      <c r="S73" s="59"/>
      <c r="T73" s="59"/>
      <c r="U73" s="59"/>
      <c r="V73" s="59"/>
      <c r="W73" s="59"/>
      <c r="X73" s="59"/>
      <c r="Y73" s="59"/>
      <c r="Z73" s="59"/>
      <c r="AA73" s="59"/>
      <c r="AB73" s="59"/>
      <c r="AC73" s="59"/>
      <c r="AD73" s="59"/>
      <c r="AE73" s="59"/>
      <c r="AF73" s="59"/>
      <c r="AG73" s="59"/>
      <c r="AH73" s="59"/>
    </row>
    <row r="74" spans="1:34" hidden="1" x14ac:dyDescent="0.25">
      <c r="A74" s="2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row>
    <row r="75" spans="1:34" hidden="1" x14ac:dyDescent="0.25">
      <c r="A75" s="26"/>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row>
    <row r="76" spans="1:34" hidden="1" x14ac:dyDescent="0.25">
      <c r="A76" s="26"/>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row>
    <row r="77" spans="1:34" hidden="1" x14ac:dyDescent="0.25">
      <c r="A77" s="26"/>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row>
    <row r="78" spans="1:34" hidden="1" x14ac:dyDescent="0.25">
      <c r="A78" s="26"/>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row>
    <row r="79" spans="1:34" hidden="1" x14ac:dyDescent="0.25">
      <c r="A79" s="2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row>
    <row r="80" spans="1:34" hidden="1" x14ac:dyDescent="0.25">
      <c r="A80" s="26"/>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row>
    <row r="81" spans="1:34" hidden="1" x14ac:dyDescent="0.25">
      <c r="A81" s="26"/>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row>
    <row r="82" spans="1:34" hidden="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row>
    <row r="83" spans="1:34" hidden="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row>
    <row r="84" spans="1:34" hidden="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row>
    <row r="85" spans="1:34" hidden="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row>
    <row r="86" spans="1:34" hidden="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row>
    <row r="87" spans="1:34" hidden="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row>
    <row r="88" spans="1:34" hidden="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row>
    <row r="89" spans="1:34" hidden="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row>
    <row r="90" spans="1:34" hidden="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row>
    <row r="91" spans="1:34" hidden="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row>
    <row r="92" spans="1:34" hidden="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row>
    <row r="93" spans="1:34" hidden="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row>
    <row r="94" spans="1:34" hidden="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row>
    <row r="95" spans="1:34" hidden="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row>
    <row r="96" spans="1:34" hidden="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row>
    <row r="97" spans="1:34" hidden="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row>
    <row r="98" spans="1:34" hidden="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row>
    <row r="99" spans="1:34" hidden="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row>
    <row r="100" spans="1:34" hidden="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row>
    <row r="101" spans="1:34" hidden="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row>
    <row r="102" spans="1:34" hidden="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row>
    <row r="103" spans="1:34" hidden="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row>
    <row r="104" spans="1:34" hidden="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row>
    <row r="105" spans="1:34" hidden="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row>
    <row r="106" spans="1:34" hidden="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row>
    <row r="107" spans="1:34" hidden="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row>
    <row r="108" spans="1:34" hidden="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row>
    <row r="109" spans="1:34" hidden="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row>
    <row r="110" spans="1:34" hidden="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row>
    <row r="111" spans="1:34" hidden="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row>
    <row r="112" spans="1:34" hidden="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row>
    <row r="113" spans="1:34" hidden="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row>
    <row r="114" spans="1:34" hidden="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row>
    <row r="115" spans="1:34" hidden="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row>
    <row r="116" spans="1:34" hidden="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row>
    <row r="117" spans="1:34" hidden="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row>
    <row r="118" spans="1:34" hidden="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row>
    <row r="119" spans="1:34" hidden="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row>
    <row r="120" spans="1:34" hidden="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row>
    <row r="121" spans="1:34" hidden="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row>
    <row r="122" spans="1:34" hidden="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row>
    <row r="123" spans="1:34" hidden="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row>
    <row r="124" spans="1:34" hidden="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row>
    <row r="125" spans="1:34" hidden="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row>
    <row r="126" spans="1:34" hidden="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row>
    <row r="127" spans="1:34" hidden="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row>
    <row r="128" spans="1:34" hidden="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row>
    <row r="129" spans="1:34" hidden="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row>
    <row r="130" spans="1:34" hidden="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row>
    <row r="131" spans="1:34" hidden="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row>
    <row r="132" spans="1:34" hidden="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row>
    <row r="133" spans="1:34" hidden="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row>
    <row r="134" spans="1:34" hidden="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row>
    <row r="135" spans="1:34" hidden="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row>
    <row r="136" spans="1:34" hidden="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row>
    <row r="137" spans="1:34" hidden="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row>
    <row r="138" spans="1:34" hidden="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row>
    <row r="139" spans="1:34" hidden="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row>
    <row r="140" spans="1:34" hidden="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row>
    <row r="141" spans="1:34" hidden="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row>
    <row r="142" spans="1:34" hidden="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row>
    <row r="143" spans="1:34" hidden="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row>
    <row r="144" spans="1:34" hidden="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row>
    <row r="145" spans="1:34" hidden="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row>
    <row r="146" spans="1:34" hidden="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row>
    <row r="147" spans="1:34" hidden="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row>
    <row r="148" spans="1:34" hidden="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row>
    <row r="149" spans="1:34" hidden="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row>
    <row r="150" spans="1:34" hidden="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row>
    <row r="151" spans="1:34" hidden="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row>
    <row r="152" spans="1:34" hidden="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row>
    <row r="153" spans="1:34" hidden="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row>
    <row r="154" spans="1:34" hidden="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row>
    <row r="155" spans="1:34" hidden="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row>
    <row r="156" spans="1:34" hidden="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row>
    <row r="157" spans="1:34" hidden="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row>
    <row r="158" spans="1:34" hidden="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row>
  </sheetData>
  <sheetProtection algorithmName="SHA-512" hashValue="cNI7wrosEUGDOS/B71Zr2NYMULRcIEpukCN0I+aX3f0pX9H1WFh2ojG9lrLaTYGJUH1fvsfkHI5lhPUtyrqjjw==" saltValue="lYkH51bsjLvVHqGFUX/H8g==" spinCount="100000" sheet="1" scenarios="1"/>
  <mergeCells count="24">
    <mergeCell ref="B3:C3"/>
    <mergeCell ref="B40:B41"/>
    <mergeCell ref="B42:B43"/>
    <mergeCell ref="B2:C2"/>
    <mergeCell ref="D5:E5"/>
    <mergeCell ref="E2:E3"/>
    <mergeCell ref="B12:B13"/>
    <mergeCell ref="B14:B15"/>
    <mergeCell ref="B44:B45"/>
    <mergeCell ref="B46:B47"/>
    <mergeCell ref="B8:B9"/>
    <mergeCell ref="B30:B31"/>
    <mergeCell ref="B32:B33"/>
    <mergeCell ref="B34:B35"/>
    <mergeCell ref="B36:B37"/>
    <mergeCell ref="B38:B39"/>
    <mergeCell ref="B20:B21"/>
    <mergeCell ref="B22:B23"/>
    <mergeCell ref="B24:B25"/>
    <mergeCell ref="B26:B27"/>
    <mergeCell ref="B28:B29"/>
    <mergeCell ref="B10:B11"/>
    <mergeCell ref="B16:B17"/>
    <mergeCell ref="B18:B19"/>
  </mergeCells>
  <conditionalFormatting sqref="E2:E3">
    <cfRule type="containsText" dxfId="171" priority="1" operator="containsText" text="Error">
      <formula>NOT(ISERROR(SEARCH("Error",E2)))</formula>
    </cfRule>
  </conditionalFormatting>
  <pageMargins left="0.7" right="0.7" top="0.75" bottom="0.75" header="0.3" footer="0.3"/>
  <pageSetup paperSize="9" scale="1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9F63-0519-4470-A745-59052BAC7261}">
  <sheetPr codeName="Sheet1">
    <tabColor rgb="FF006600"/>
    <pageSetUpPr fitToPage="1"/>
  </sheetPr>
  <dimension ref="A1:DX169"/>
  <sheetViews>
    <sheetView tabSelected="1" topLeftCell="A67" zoomScale="70" zoomScaleNormal="70" workbookViewId="0">
      <selection activeCell="H97" sqref="H97"/>
    </sheetView>
  </sheetViews>
  <sheetFormatPr defaultColWidth="0" defaultRowHeight="15" zeroHeight="1" x14ac:dyDescent="0.25"/>
  <cols>
    <col min="1" max="1" width="4.5703125" customWidth="1"/>
    <col min="2" max="2" width="14.85546875" customWidth="1"/>
    <col min="3" max="3" width="26.42578125" bestFit="1" customWidth="1"/>
    <col min="4" max="4" width="62.7109375" customWidth="1"/>
    <col min="5" max="5" width="22" customWidth="1"/>
    <col min="6" max="6" width="18.5703125" customWidth="1"/>
    <col min="7" max="7" width="39.7109375" customWidth="1"/>
    <col min="8" max="8" width="49.28515625" bestFit="1" customWidth="1"/>
    <col min="9" max="9" width="14.5703125" customWidth="1"/>
    <col min="10" max="10" width="12.7109375" customWidth="1"/>
    <col min="11" max="11" width="11.42578125" customWidth="1"/>
    <col min="12" max="12" width="17.85546875" customWidth="1"/>
    <col min="13" max="14" width="11.42578125" customWidth="1"/>
    <col min="15" max="16" width="27" customWidth="1"/>
    <col min="17" max="18" width="11.42578125" customWidth="1"/>
    <col min="19" max="19" width="2.28515625" customWidth="1"/>
    <col min="20" max="20" width="13" customWidth="1"/>
    <col min="21" max="21" width="14.85546875" customWidth="1"/>
    <col min="22" max="22" width="20.7109375" bestFit="1" customWidth="1"/>
    <col min="23" max="23" width="23.7109375" customWidth="1"/>
    <col min="24" max="24" width="16.85546875" bestFit="1" customWidth="1"/>
    <col min="25" max="25" width="14" hidden="1" customWidth="1"/>
    <col min="26" max="26" width="21.28515625" hidden="1" customWidth="1"/>
    <col min="27" max="27" width="14" hidden="1" customWidth="1"/>
    <col min="28" max="28" width="33.7109375" customWidth="1"/>
    <col min="29" max="29" width="26.5703125" customWidth="1"/>
    <col min="30" max="30" width="50" customWidth="1"/>
    <col min="31" max="31" width="18.7109375" customWidth="1"/>
    <col min="32" max="32" width="23.7109375" customWidth="1"/>
    <col min="33" max="33" width="16.7109375" customWidth="1"/>
    <col min="34" max="34" width="35.7109375" customWidth="1"/>
    <col min="35" max="35" width="76.28515625" customWidth="1"/>
    <col min="36" max="36" width="23.5703125" customWidth="1"/>
    <col min="37" max="37" width="23.5703125" hidden="1" customWidth="1"/>
    <col min="38" max="38" width="16.7109375" hidden="1" customWidth="1"/>
    <col min="39" max="39" width="13.28515625" hidden="1" customWidth="1"/>
    <col min="40" max="40" width="20.42578125" customWidth="1"/>
    <col min="41" max="41" width="34.140625" bestFit="1" customWidth="1"/>
    <col min="42" max="42" width="19.7109375" bestFit="1" customWidth="1"/>
    <col min="43" max="43" width="16.28515625" bestFit="1" customWidth="1"/>
    <col min="44" max="47" width="27.28515625" customWidth="1"/>
    <col min="48" max="48" width="21.140625" bestFit="1" customWidth="1"/>
    <col min="49" max="49" width="23.28515625" bestFit="1" customWidth="1"/>
    <col min="50" max="50" width="68.28515625" customWidth="1"/>
    <col min="51" max="51" width="26.5703125" customWidth="1"/>
    <col min="52" max="52" width="14.28515625" customWidth="1"/>
    <col min="53" max="53" width="26.5703125" customWidth="1"/>
    <col min="54" max="73" width="26.140625" customWidth="1"/>
    <col min="74" max="74" width="11.5703125" customWidth="1"/>
    <col min="75" max="79" width="8.85546875" customWidth="1"/>
    <col min="80" max="128" width="0" hidden="1" customWidth="1"/>
    <col min="129" max="16384" width="8.85546875" hidden="1"/>
  </cols>
  <sheetData>
    <row r="1" spans="1:128" ht="15.75" customHeight="1" thickBot="1" x14ac:dyDescent="0.3">
      <c r="A1" s="26"/>
      <c r="B1" s="26"/>
      <c r="C1" s="26"/>
      <c r="D1" s="26"/>
      <c r="E1" s="26"/>
      <c r="F1" s="26"/>
      <c r="G1" s="26"/>
      <c r="H1" s="26"/>
      <c r="I1" s="53"/>
      <c r="J1" s="53"/>
      <c r="K1" s="53"/>
      <c r="L1" s="53"/>
      <c r="M1" s="53"/>
      <c r="N1" s="53"/>
      <c r="O1" s="160" t="s">
        <v>44</v>
      </c>
      <c r="P1" s="311">
        <f>IFERROR(SUM(AE11:AE31), "Error ▲")</f>
        <v>7.4877695999999994E-2</v>
      </c>
      <c r="Q1" s="26"/>
      <c r="R1" s="664" t="s">
        <v>45</v>
      </c>
      <c r="S1" s="26"/>
      <c r="T1" s="27"/>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row>
    <row r="2" spans="1:128" ht="19.899999999999999" customHeight="1" x14ac:dyDescent="0.3">
      <c r="A2" s="26"/>
      <c r="B2" s="81" t="s">
        <v>1011</v>
      </c>
      <c r="C2" s="764" t="str">
        <f>IF('2. Site Details'!D4="","Enter site name on 2. Site Details",'2. Site Details'!D4)</f>
        <v>Land to Rear of 32 Church Street, Weldon</v>
      </c>
      <c r="D2" s="765"/>
      <c r="E2" s="26"/>
      <c r="F2" s="706" t="s">
        <v>985</v>
      </c>
      <c r="G2" s="707"/>
      <c r="H2" s="708"/>
      <c r="I2" s="82"/>
      <c r="J2" s="719" t="str">
        <f>IFERROR(IF(SUM(O33:O35,O62,O90,J114:J133,J138:J142,O36)&gt;0,"Rule Based Errors Present On Sheet - Red Cells Or ▲ Highlight Errors","All Key Rules Satisfied 🗸"),"Technical Errors On Sheet ▲")</f>
        <v>Rule Based Errors Present On Sheet - Red Cells Or ▲ Highlight Errors</v>
      </c>
      <c r="K2" s="719"/>
      <c r="L2" s="719"/>
      <c r="M2" s="719"/>
      <c r="N2" s="82"/>
      <c r="O2" s="84" t="s">
        <v>46</v>
      </c>
      <c r="P2" s="311">
        <f>IFERROR(N32, "Error ▲")</f>
        <v>0.68782732799999979</v>
      </c>
      <c r="Q2" s="26"/>
      <c r="R2" s="664"/>
      <c r="S2" s="26"/>
      <c r="T2" s="27"/>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row>
    <row r="3" spans="1:128" ht="19.899999999999999" customHeight="1" thickBot="1" x14ac:dyDescent="0.35">
      <c r="A3" s="26"/>
      <c r="B3" s="83" t="s">
        <v>7</v>
      </c>
      <c r="C3" s="766" t="s">
        <v>988</v>
      </c>
      <c r="D3" s="767"/>
      <c r="E3" s="26"/>
      <c r="F3" s="709"/>
      <c r="G3" s="710"/>
      <c r="H3" s="711"/>
      <c r="I3" s="82"/>
      <c r="J3" s="719"/>
      <c r="K3" s="719"/>
      <c r="L3" s="719"/>
      <c r="M3" s="719"/>
      <c r="N3" s="82"/>
      <c r="O3" s="84" t="s">
        <v>47</v>
      </c>
      <c r="P3" s="311">
        <f>IFERROR(L61, "Error ▲")</f>
        <v>0.78171983407815926</v>
      </c>
      <c r="Q3" s="26"/>
      <c r="R3" s="664"/>
      <c r="S3" s="26"/>
      <c r="T3" s="27"/>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row>
    <row r="4" spans="1:128" ht="19.899999999999999" customHeight="1" x14ac:dyDescent="0.25">
      <c r="A4" s="26"/>
      <c r="B4" s="85"/>
      <c r="C4" s="85"/>
      <c r="D4" s="85"/>
      <c r="E4" s="26"/>
      <c r="F4" s="709"/>
      <c r="G4" s="710"/>
      <c r="H4" s="711"/>
      <c r="I4" s="82"/>
      <c r="J4" s="719"/>
      <c r="K4" s="719"/>
      <c r="L4" s="719"/>
      <c r="M4" s="719"/>
      <c r="N4" s="82"/>
      <c r="O4" s="84" t="s">
        <v>48</v>
      </c>
      <c r="P4" s="311">
        <f>IFERROR(L89, "Error ▲")</f>
        <v>0</v>
      </c>
      <c r="Q4" s="26"/>
      <c r="R4" s="664"/>
      <c r="S4" s="26"/>
      <c r="T4" s="27"/>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row>
    <row r="5" spans="1:128" ht="19.899999999999999" customHeight="1" thickBot="1" x14ac:dyDescent="0.3">
      <c r="A5" s="86"/>
      <c r="B5" s="26"/>
      <c r="C5" s="26"/>
      <c r="D5" s="26"/>
      <c r="E5" s="26"/>
      <c r="F5" s="709"/>
      <c r="G5" s="710"/>
      <c r="H5" s="711"/>
      <c r="I5" s="82"/>
      <c r="J5" s="719"/>
      <c r="K5" s="719"/>
      <c r="L5" s="719"/>
      <c r="M5" s="719"/>
      <c r="N5" s="82"/>
      <c r="O5" s="87" t="s">
        <v>49</v>
      </c>
      <c r="P5" s="312">
        <f>IFERROR((P1+L61+L89)-L32, "Error ▲")</f>
        <v>9.3892506078159355E-2</v>
      </c>
      <c r="Q5" s="26"/>
      <c r="R5" s="664"/>
      <c r="S5" s="26"/>
      <c r="T5" s="27"/>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row>
    <row r="6" spans="1:128" ht="13.15" customHeight="1" thickBot="1" x14ac:dyDescent="0.3">
      <c r="A6" s="86"/>
      <c r="B6" s="26"/>
      <c r="C6" s="26"/>
      <c r="D6" s="26"/>
      <c r="E6" s="26"/>
      <c r="F6" s="712"/>
      <c r="G6" s="713"/>
      <c r="H6" s="714"/>
      <c r="I6" s="53"/>
      <c r="J6" s="53"/>
      <c r="K6" s="53"/>
      <c r="L6" s="53"/>
      <c r="M6" s="53"/>
      <c r="N6" s="53"/>
      <c r="O6" s="88"/>
      <c r="P6" s="88"/>
      <c r="Q6" s="26"/>
      <c r="R6" s="664"/>
      <c r="S6" s="26"/>
      <c r="T6" s="27"/>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row>
    <row r="7" spans="1:128" ht="19.149999999999999" customHeight="1" x14ac:dyDescent="0.35">
      <c r="A7" s="26"/>
      <c r="B7" s="58" t="s">
        <v>50</v>
      </c>
      <c r="C7" s="26"/>
      <c r="D7" s="89"/>
      <c r="E7" s="26"/>
      <c r="F7" s="26"/>
      <c r="G7" s="26"/>
      <c r="H7" s="27"/>
      <c r="I7" s="26"/>
      <c r="J7" s="26"/>
      <c r="K7" s="27"/>
      <c r="L7" s="31"/>
      <c r="M7" s="31"/>
      <c r="N7" s="31"/>
      <c r="O7" s="26"/>
      <c r="P7" s="26"/>
      <c r="Q7" s="26"/>
      <c r="R7" s="664"/>
      <c r="S7" s="26"/>
      <c r="T7" s="27"/>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row>
    <row r="8" spans="1:128" ht="10.9" customHeight="1" thickBot="1" x14ac:dyDescent="0.3">
      <c r="A8" s="90"/>
      <c r="B8" s="26"/>
      <c r="C8" s="26"/>
      <c r="D8" s="26"/>
      <c r="E8" s="26"/>
      <c r="F8" s="26"/>
      <c r="G8" s="26"/>
      <c r="H8" s="26"/>
      <c r="I8" s="26"/>
      <c r="J8" s="26"/>
      <c r="K8" s="26"/>
      <c r="L8" s="26"/>
      <c r="M8" s="26"/>
      <c r="N8" s="26"/>
      <c r="O8" s="26"/>
      <c r="P8" s="26"/>
      <c r="Q8" s="26"/>
      <c r="R8" s="664"/>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row>
    <row r="9" spans="1:128" ht="29.45" customHeight="1" x14ac:dyDescent="0.25">
      <c r="A9" s="90"/>
      <c r="B9" s="672" t="s">
        <v>39</v>
      </c>
      <c r="C9" s="674" t="s">
        <v>51</v>
      </c>
      <c r="D9" s="679"/>
      <c r="E9" s="687"/>
      <c r="F9" s="692" t="s">
        <v>52</v>
      </c>
      <c r="G9" s="693"/>
      <c r="H9" s="694"/>
      <c r="I9" s="674" t="s">
        <v>1013</v>
      </c>
      <c r="J9" s="679"/>
      <c r="K9" s="687"/>
      <c r="L9" s="691" t="s">
        <v>53</v>
      </c>
      <c r="M9" s="666"/>
      <c r="N9" s="667"/>
      <c r="O9" s="691" t="s">
        <v>54</v>
      </c>
      <c r="P9" s="667"/>
      <c r="Q9" s="26"/>
      <c r="R9" s="664"/>
      <c r="S9" s="26"/>
      <c r="T9" s="603" t="s">
        <v>55</v>
      </c>
      <c r="U9" s="604"/>
      <c r="V9" s="605"/>
      <c r="W9" s="698" t="s">
        <v>56</v>
      </c>
      <c r="X9" s="605"/>
      <c r="Y9" s="699"/>
      <c r="Z9" s="699"/>
      <c r="AA9" s="699"/>
      <c r="AB9" s="603" t="s">
        <v>57</v>
      </c>
      <c r="AC9" s="604"/>
      <c r="AD9" s="605"/>
      <c r="AE9" s="603" t="s">
        <v>58</v>
      </c>
      <c r="AF9" s="604"/>
      <c r="AG9" s="605"/>
      <c r="AH9" s="603" t="s">
        <v>59</v>
      </c>
      <c r="AI9" s="605" t="s">
        <v>60</v>
      </c>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row>
    <row r="10" spans="1:128" ht="32.25" thickBot="1" x14ac:dyDescent="0.3">
      <c r="A10" s="90"/>
      <c r="B10" s="673"/>
      <c r="C10" s="87" t="s">
        <v>61</v>
      </c>
      <c r="D10" s="758" t="s">
        <v>62</v>
      </c>
      <c r="E10" s="759"/>
      <c r="F10" s="695"/>
      <c r="G10" s="696"/>
      <c r="H10" s="697"/>
      <c r="I10" s="87" t="s">
        <v>63</v>
      </c>
      <c r="J10" s="218" t="s">
        <v>64</v>
      </c>
      <c r="K10" s="91" t="s">
        <v>65</v>
      </c>
      <c r="L10" s="87" t="s">
        <v>66</v>
      </c>
      <c r="M10" s="218" t="s">
        <v>67</v>
      </c>
      <c r="N10" s="91" t="s">
        <v>68</v>
      </c>
      <c r="O10" s="87" t="s">
        <v>69</v>
      </c>
      <c r="P10" s="91" t="s">
        <v>70</v>
      </c>
      <c r="Q10" s="26"/>
      <c r="R10" s="664"/>
      <c r="S10" s="26"/>
      <c r="T10" s="601" t="s">
        <v>71</v>
      </c>
      <c r="U10" s="602"/>
      <c r="V10" s="93" t="s">
        <v>72</v>
      </c>
      <c r="W10" s="383" t="s">
        <v>73</v>
      </c>
      <c r="X10" s="93" t="s">
        <v>72</v>
      </c>
      <c r="Y10" s="395"/>
      <c r="Z10" s="395"/>
      <c r="AA10" s="395"/>
      <c r="AB10" s="92" t="s">
        <v>57</v>
      </c>
      <c r="AC10" s="50" t="s">
        <v>57</v>
      </c>
      <c r="AD10" s="93" t="s">
        <v>74</v>
      </c>
      <c r="AE10" s="92" t="s">
        <v>75</v>
      </c>
      <c r="AF10" s="50" t="s">
        <v>76</v>
      </c>
      <c r="AG10" s="93" t="s">
        <v>77</v>
      </c>
      <c r="AH10" s="601"/>
      <c r="AI10" s="773"/>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row>
    <row r="11" spans="1:128" ht="60" x14ac:dyDescent="0.25">
      <c r="A11" s="90"/>
      <c r="B11" s="297">
        <v>1</v>
      </c>
      <c r="C11" s="291" t="s">
        <v>79</v>
      </c>
      <c r="D11" s="642" t="s">
        <v>278</v>
      </c>
      <c r="E11" s="643"/>
      <c r="F11" s="702" t="s">
        <v>919</v>
      </c>
      <c r="G11" s="703"/>
      <c r="H11" s="704"/>
      <c r="I11" s="351">
        <v>1380</v>
      </c>
      <c r="J11" s="369">
        <v>0</v>
      </c>
      <c r="K11" s="353">
        <v>0</v>
      </c>
      <c r="L11" s="480">
        <f>IF(C11="","",IFERROR(IF(I11="","",((I11/10000)*V11*X11)*AD11),"Error ▲"))</f>
        <v>0.27600000000000002</v>
      </c>
      <c r="M11" s="480">
        <f>IF(I11="","",IF(J11+K11&gt;I11,"Area Error ▲",I11-J11-K11))</f>
        <v>1380</v>
      </c>
      <c r="N11" s="481">
        <f>IFERROR(IF(I11="","",IF(M11="Area Error ▲","Area Error ▲",((M11/10000)*V11*X11)*AD11)),"This intervention is not permitted within the SSM ▲")</f>
        <v>0.27600000000000002</v>
      </c>
      <c r="O11" s="68" t="s">
        <v>1030</v>
      </c>
      <c r="P11" s="5"/>
      <c r="Q11" s="26"/>
      <c r="R11" s="664"/>
      <c r="S11" s="26"/>
      <c r="T11" s="593" t="str">
        <f>IF(C11="","",VLOOKUP(D11,'9. All Habitats + Multipliers'!$C$4:$K$102,5,FALSE))</f>
        <v>Low</v>
      </c>
      <c r="U11" s="594"/>
      <c r="V11" s="95">
        <f>IF(T11="","",VLOOKUP(T11,'11. Lists'!$B$47:$D$49,2,FALSE))</f>
        <v>2</v>
      </c>
      <c r="W11" s="205" t="str">
        <f>IF(C11="","",VLOOKUP(D11,'10. Condition and Temporal'!$B$6:$C$103,2,FALSE))</f>
        <v>Condition Assessment N/A</v>
      </c>
      <c r="X11" s="95">
        <f>IF(W11="","",VLOOKUP(W11,'11. Lists'!$F$47:$G$51,2,FALSE))</f>
        <v>1</v>
      </c>
      <c r="Y11" s="49"/>
      <c r="Z11" s="49"/>
      <c r="AA11" s="49"/>
      <c r="AB11" s="94" t="str">
        <f>IF(F11="","",F11)</f>
        <v>Area/compensation not in local strategy/ no local strategy</v>
      </c>
      <c r="AC11" s="96" t="str">
        <f>IF(AB11="","",VLOOKUP(AB11,'11. Lists'!$F$36:$H$38,2,FALSE))</f>
        <v>Low Strategic Significance</v>
      </c>
      <c r="AD11" s="95">
        <f>IF(AB11="","",VLOOKUP(AB11,'11. Lists'!$F$36:$H$38,3,FALSE))</f>
        <v>1</v>
      </c>
      <c r="AE11" s="344">
        <f>IF(D11="","",((J11/10000)*V11*X11)*AD11)</f>
        <v>0</v>
      </c>
      <c r="AF11" s="345">
        <f>IF(D11="","",((K11/10000)*V11*X11)*AD11)</f>
        <v>0</v>
      </c>
      <c r="AG11" s="98">
        <f>IF(D11="","",M11)</f>
        <v>1380</v>
      </c>
      <c r="AH11" s="94" t="str">
        <f>IF(T11="","",VLOOKUP(T11,'11. Lists'!$B$47:$D$49,3,FALSE))</f>
        <v>Same distinctiveness or better habitat required</v>
      </c>
      <c r="AI11" s="95" t="str">
        <f>IF(D11="","",VLOOKUP(D11,'10. Condition and Temporal'!$B$6:$L$103,4,FALSE))</f>
        <v>Enhancement not possible</v>
      </c>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row>
    <row r="12" spans="1:128" ht="15.75" x14ac:dyDescent="0.25">
      <c r="A12" s="26"/>
      <c r="B12" s="298">
        <v>2</v>
      </c>
      <c r="C12" s="291"/>
      <c r="D12" s="760"/>
      <c r="E12" s="761"/>
      <c r="F12" s="702"/>
      <c r="G12" s="703"/>
      <c r="H12" s="704"/>
      <c r="I12" s="351"/>
      <c r="J12" s="352"/>
      <c r="K12" s="353"/>
      <c r="L12" s="347" t="str">
        <f t="shared" ref="L12:L30" si="0">IF(C12="","",IFERROR(IF(I12="","",((I12/10000)*V12*X12)*AD12),"Error ▲"))</f>
        <v/>
      </c>
      <c r="M12" s="347" t="str">
        <f t="shared" ref="M12:M30" si="1">IF(I12="","",IF(J12+K12&gt;I12,"Area Error ▲",I12-J12-K12))</f>
        <v/>
      </c>
      <c r="N12" s="406" t="str">
        <f t="shared" ref="N12:N30" si="2">IFERROR(IF(I12="","",IF(M12="Area Error ▲","Area Error ▲",((M12/10000)*V12*X12)*AD12)),"This intervention is not permitted within the SSM ▲")</f>
        <v/>
      </c>
      <c r="O12" s="69"/>
      <c r="P12" s="3"/>
      <c r="Q12" s="26"/>
      <c r="R12" s="664"/>
      <c r="S12" s="26"/>
      <c r="T12" s="593" t="str">
        <f>IF(C12="","",VLOOKUP(D12,'9. All Habitats + Multipliers'!$C$4:$K$102,5,FALSE))</f>
        <v/>
      </c>
      <c r="U12" s="594"/>
      <c r="V12" s="95" t="str">
        <f>IF(T12="","",VLOOKUP(T12,'11. Lists'!$B$47:$D$49,2,FALSE))</f>
        <v/>
      </c>
      <c r="W12" s="205" t="str">
        <f>IF(C12="","",VLOOKUP(D12,'10. Condition and Temporal'!$B$6:$C$103,2,FALSE))</f>
        <v/>
      </c>
      <c r="X12" s="95" t="str">
        <f>IF(W12="","",VLOOKUP(W12,'11. Lists'!$F$47:$G$51,2,FALSE))</f>
        <v/>
      </c>
      <c r="Y12" s="49"/>
      <c r="Z12" s="49"/>
      <c r="AA12" s="49"/>
      <c r="AB12" s="94" t="str">
        <f>IF(F12="","",F12)</f>
        <v/>
      </c>
      <c r="AC12" s="96" t="str">
        <f>IF(AB12="","",VLOOKUP(AB12,'11. Lists'!$F$36:$H$38,2,FALSE))</f>
        <v/>
      </c>
      <c r="AD12" s="95" t="str">
        <f>IF(AB12="","",VLOOKUP(AB12,'11. Lists'!$F$36:$H$38,3,FALSE))</f>
        <v/>
      </c>
      <c r="AE12" s="344" t="str">
        <f t="shared" ref="AE12:AE30" si="3">IF(D12="","",((J12/10000)*V12*X12)*AD12)</f>
        <v/>
      </c>
      <c r="AF12" s="345" t="str">
        <f t="shared" ref="AF12:AF30" si="4">IF(D12="","",((K12/10000)*V12*X12)*AD12)</f>
        <v/>
      </c>
      <c r="AG12" s="98" t="str">
        <f t="shared" ref="AG12:AG31" si="5">IF(D12="","",M12)</f>
        <v/>
      </c>
      <c r="AH12" s="94" t="str">
        <f>IF(T12="","",VLOOKUP(T12,'11. Lists'!$B$47:$D$49,3,FALSE))</f>
        <v/>
      </c>
      <c r="AI12" s="95" t="str">
        <f>IF(D12="","",VLOOKUP(D12,'10. Condition and Temporal'!$B$6:$L$103,4,FALSE))</f>
        <v/>
      </c>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row>
    <row r="13" spans="1:128" ht="15.75" x14ac:dyDescent="0.25">
      <c r="A13" s="26"/>
      <c r="B13" s="298">
        <v>3</v>
      </c>
      <c r="C13" s="291"/>
      <c r="D13" s="760"/>
      <c r="E13" s="761"/>
      <c r="F13" s="702"/>
      <c r="G13" s="703"/>
      <c r="H13" s="704"/>
      <c r="I13" s="351"/>
      <c r="J13" s="352"/>
      <c r="K13" s="353"/>
      <c r="L13" s="347" t="str">
        <f t="shared" si="0"/>
        <v/>
      </c>
      <c r="M13" s="347" t="str">
        <f t="shared" si="1"/>
        <v/>
      </c>
      <c r="N13" s="406" t="str">
        <f t="shared" si="2"/>
        <v/>
      </c>
      <c r="O13" s="69"/>
      <c r="P13" s="3"/>
      <c r="Q13" s="26"/>
      <c r="R13" s="664"/>
      <c r="S13" s="26"/>
      <c r="T13" s="593" t="str">
        <f>IF(C13="","",VLOOKUP(D13,'9. All Habitats + Multipliers'!$C$4:$K$102,5,FALSE))</f>
        <v/>
      </c>
      <c r="U13" s="594"/>
      <c r="V13" s="95" t="str">
        <f>IF(T13="","",VLOOKUP(T13,'11. Lists'!$B$47:$D$49,2,FALSE))</f>
        <v/>
      </c>
      <c r="W13" s="205" t="str">
        <f>IF(C13="","",VLOOKUP(D13,'10. Condition and Temporal'!$B$6:$C$103,2,FALSE))</f>
        <v/>
      </c>
      <c r="X13" s="95" t="str">
        <f>IF(W13="","",VLOOKUP(W13,'11. Lists'!$F$47:$G$51,2,FALSE))</f>
        <v/>
      </c>
      <c r="Y13" s="49"/>
      <c r="Z13" s="49"/>
      <c r="AA13" s="49"/>
      <c r="AB13" s="94" t="str">
        <f t="shared" ref="AB13:AB30" si="6">IF(F13="","",F13)</f>
        <v/>
      </c>
      <c r="AC13" s="96" t="str">
        <f>IF(AB13="","",VLOOKUP(AB13,'11. Lists'!$F$36:$H$38,2,FALSE))</f>
        <v/>
      </c>
      <c r="AD13" s="95" t="str">
        <f>IF(AB13="","",VLOOKUP(AB13,'11. Lists'!$F$36:$H$38,3,FALSE))</f>
        <v/>
      </c>
      <c r="AE13" s="344" t="str">
        <f t="shared" si="3"/>
        <v/>
      </c>
      <c r="AF13" s="345" t="str">
        <f t="shared" si="4"/>
        <v/>
      </c>
      <c r="AG13" s="98" t="str">
        <f t="shared" si="5"/>
        <v/>
      </c>
      <c r="AH13" s="94" t="str">
        <f>IF(T13="","",VLOOKUP(T13,'11. Lists'!$B$47:$D$49,3,FALSE))</f>
        <v/>
      </c>
      <c r="AI13" s="95" t="str">
        <f>IF(D13="","",VLOOKUP(D13,'10. Condition and Temporal'!$B$6:$L$103,4,FALSE))</f>
        <v/>
      </c>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row>
    <row r="14" spans="1:128" ht="15.75" x14ac:dyDescent="0.25">
      <c r="A14" s="26"/>
      <c r="B14" s="298">
        <v>4</v>
      </c>
      <c r="C14" s="291"/>
      <c r="D14" s="760"/>
      <c r="E14" s="761"/>
      <c r="F14" s="702"/>
      <c r="G14" s="703"/>
      <c r="H14" s="704"/>
      <c r="I14" s="351"/>
      <c r="J14" s="352"/>
      <c r="K14" s="353"/>
      <c r="L14" s="347" t="str">
        <f t="shared" si="0"/>
        <v/>
      </c>
      <c r="M14" s="347" t="str">
        <f t="shared" si="1"/>
        <v/>
      </c>
      <c r="N14" s="406" t="str">
        <f t="shared" si="2"/>
        <v/>
      </c>
      <c r="O14" s="69"/>
      <c r="P14" s="3"/>
      <c r="Q14" s="26"/>
      <c r="R14" s="664"/>
      <c r="S14" s="26"/>
      <c r="T14" s="593" t="str">
        <f>IF(C14="","",VLOOKUP(D14,'9. All Habitats + Multipliers'!$C$4:$K$102,5,FALSE))</f>
        <v/>
      </c>
      <c r="U14" s="594"/>
      <c r="V14" s="95" t="str">
        <f>IF(T14="","",VLOOKUP(T14,'11. Lists'!$B$47:$D$49,2,FALSE))</f>
        <v/>
      </c>
      <c r="W14" s="205" t="str">
        <f>IF(C14="","",VLOOKUP(D14,'10. Condition and Temporal'!$B$6:$C$103,2,FALSE))</f>
        <v/>
      </c>
      <c r="X14" s="95" t="str">
        <f>IF(W14="","",VLOOKUP(W14,'11. Lists'!$F$47:$G$51,2,FALSE))</f>
        <v/>
      </c>
      <c r="Y14" s="49"/>
      <c r="Z14" s="49"/>
      <c r="AA14" s="49"/>
      <c r="AB14" s="94" t="str">
        <f t="shared" si="6"/>
        <v/>
      </c>
      <c r="AC14" s="96" t="str">
        <f>IF(AB14="","",VLOOKUP(AB14,'11. Lists'!$F$36:$H$38,2,FALSE))</f>
        <v/>
      </c>
      <c r="AD14" s="95" t="str">
        <f>IF(AB14="","",VLOOKUP(AB14,'11. Lists'!$F$36:$H$38,3,FALSE))</f>
        <v/>
      </c>
      <c r="AE14" s="344" t="str">
        <f t="shared" si="3"/>
        <v/>
      </c>
      <c r="AF14" s="345" t="str">
        <f t="shared" si="4"/>
        <v/>
      </c>
      <c r="AG14" s="98" t="str">
        <f t="shared" si="5"/>
        <v/>
      </c>
      <c r="AH14" s="94" t="str">
        <f>IF(T14="","",VLOOKUP(T14,'11. Lists'!$B$47:$D$49,3,FALSE))</f>
        <v/>
      </c>
      <c r="AI14" s="95" t="str">
        <f>IF(D14="","",VLOOKUP(D14,'10. Condition and Temporal'!$B$6:$L$103,4,FALSE))</f>
        <v/>
      </c>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row>
    <row r="15" spans="1:128" ht="15.75" x14ac:dyDescent="0.25">
      <c r="A15" s="26"/>
      <c r="B15" s="298">
        <v>5</v>
      </c>
      <c r="C15" s="291"/>
      <c r="D15" s="760"/>
      <c r="E15" s="761"/>
      <c r="F15" s="702"/>
      <c r="G15" s="703"/>
      <c r="H15" s="704"/>
      <c r="I15" s="351"/>
      <c r="J15" s="352"/>
      <c r="K15" s="353"/>
      <c r="L15" s="347" t="str">
        <f t="shared" si="0"/>
        <v/>
      </c>
      <c r="M15" s="347" t="str">
        <f t="shared" si="1"/>
        <v/>
      </c>
      <c r="N15" s="406" t="str">
        <f t="shared" si="2"/>
        <v/>
      </c>
      <c r="O15" s="69"/>
      <c r="P15" s="3"/>
      <c r="Q15" s="26"/>
      <c r="R15" s="664"/>
      <c r="S15" s="26"/>
      <c r="T15" s="593" t="str">
        <f>IF(C15="","",VLOOKUP(D15,'9. All Habitats + Multipliers'!$C$4:$K$102,5,FALSE))</f>
        <v/>
      </c>
      <c r="U15" s="594"/>
      <c r="V15" s="95" t="str">
        <f>IF(T15="","",VLOOKUP(T15,'11. Lists'!$B$47:$D$49,2,FALSE))</f>
        <v/>
      </c>
      <c r="W15" s="205" t="str">
        <f>IF(C15="","",VLOOKUP(D15,'10. Condition and Temporal'!$B$6:$C$103,2,FALSE))</f>
        <v/>
      </c>
      <c r="X15" s="95" t="str">
        <f>IF(W15="","",VLOOKUP(W15,'11. Lists'!$F$47:$G$51,2,FALSE))</f>
        <v/>
      </c>
      <c r="Y15" s="49"/>
      <c r="Z15" s="49"/>
      <c r="AA15" s="49"/>
      <c r="AB15" s="94" t="str">
        <f t="shared" si="6"/>
        <v/>
      </c>
      <c r="AC15" s="96" t="str">
        <f>IF(AB15="","",VLOOKUP(AB15,'11. Lists'!$F$36:$H$38,2,FALSE))</f>
        <v/>
      </c>
      <c r="AD15" s="95" t="str">
        <f>IF(AB15="","",VLOOKUP(AB15,'11. Lists'!$F$36:$H$38,3,FALSE))</f>
        <v/>
      </c>
      <c r="AE15" s="344" t="str">
        <f t="shared" si="3"/>
        <v/>
      </c>
      <c r="AF15" s="345" t="str">
        <f t="shared" si="4"/>
        <v/>
      </c>
      <c r="AG15" s="98" t="str">
        <f t="shared" si="5"/>
        <v/>
      </c>
      <c r="AH15" s="94" t="str">
        <f>IF(T15="","",VLOOKUP(T15,'11. Lists'!$B$47:$D$49,3,FALSE))</f>
        <v/>
      </c>
      <c r="AI15" s="95" t="str">
        <f>IF(D15="","",VLOOKUP(D15,'10. Condition and Temporal'!$B$6:$L$103,4,FALSE))</f>
        <v/>
      </c>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row>
    <row r="16" spans="1:128" ht="15.75" x14ac:dyDescent="0.25">
      <c r="A16" s="26"/>
      <c r="B16" s="298">
        <v>6</v>
      </c>
      <c r="C16" s="291"/>
      <c r="D16" s="760"/>
      <c r="E16" s="761"/>
      <c r="F16" s="702"/>
      <c r="G16" s="703"/>
      <c r="H16" s="704"/>
      <c r="I16" s="351"/>
      <c r="J16" s="352"/>
      <c r="K16" s="353"/>
      <c r="L16" s="347" t="str">
        <f t="shared" si="0"/>
        <v/>
      </c>
      <c r="M16" s="347" t="str">
        <f t="shared" si="1"/>
        <v/>
      </c>
      <c r="N16" s="406" t="str">
        <f t="shared" si="2"/>
        <v/>
      </c>
      <c r="O16" s="69"/>
      <c r="P16" s="3"/>
      <c r="Q16" s="26"/>
      <c r="R16" s="664"/>
      <c r="S16" s="26"/>
      <c r="T16" s="593" t="str">
        <f>IF(C16="","",VLOOKUP(D16,'9. All Habitats + Multipliers'!$C$4:$K$102,5,FALSE))</f>
        <v/>
      </c>
      <c r="U16" s="594"/>
      <c r="V16" s="95" t="str">
        <f>IF(T16="","",VLOOKUP(T16,'11. Lists'!$B$47:$D$49,2,FALSE))</f>
        <v/>
      </c>
      <c r="W16" s="205" t="str">
        <f>IF(C16="","",VLOOKUP(D16,'10. Condition and Temporal'!$B$6:$C$103,2,FALSE))</f>
        <v/>
      </c>
      <c r="X16" s="95" t="str">
        <f>IF(W16="","",VLOOKUP(W16,'11. Lists'!$F$47:$G$51,2,FALSE))</f>
        <v/>
      </c>
      <c r="Y16" s="49"/>
      <c r="Z16" s="49"/>
      <c r="AA16" s="49"/>
      <c r="AB16" s="94" t="str">
        <f t="shared" si="6"/>
        <v/>
      </c>
      <c r="AC16" s="96" t="str">
        <f>IF(AB16="","",VLOOKUP(AB16,'11. Lists'!$F$36:$H$38,2,FALSE))</f>
        <v/>
      </c>
      <c r="AD16" s="95" t="str">
        <f>IF(AB16="","",VLOOKUP(AB16,'11. Lists'!$F$36:$H$38,3,FALSE))</f>
        <v/>
      </c>
      <c r="AE16" s="344" t="str">
        <f t="shared" si="3"/>
        <v/>
      </c>
      <c r="AF16" s="345" t="str">
        <f t="shared" si="4"/>
        <v/>
      </c>
      <c r="AG16" s="98" t="str">
        <f t="shared" si="5"/>
        <v/>
      </c>
      <c r="AH16" s="94" t="str">
        <f>IF(T16="","",VLOOKUP(T16,'11. Lists'!$B$47:$D$49,3,FALSE))</f>
        <v/>
      </c>
      <c r="AI16" s="95" t="str">
        <f>IF(D16="","",VLOOKUP(D16,'10. Condition and Temporal'!$B$6:$L$103,4,FALSE))</f>
        <v/>
      </c>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row>
    <row r="17" spans="1:128" ht="15.75" x14ac:dyDescent="0.25">
      <c r="A17" s="26"/>
      <c r="B17" s="298">
        <v>7</v>
      </c>
      <c r="C17" s="291"/>
      <c r="D17" s="760"/>
      <c r="E17" s="761"/>
      <c r="F17" s="702"/>
      <c r="G17" s="703"/>
      <c r="H17" s="704"/>
      <c r="I17" s="351"/>
      <c r="J17" s="352"/>
      <c r="K17" s="353"/>
      <c r="L17" s="347" t="str">
        <f t="shared" si="0"/>
        <v/>
      </c>
      <c r="M17" s="347" t="str">
        <f t="shared" si="1"/>
        <v/>
      </c>
      <c r="N17" s="406" t="str">
        <f t="shared" si="2"/>
        <v/>
      </c>
      <c r="O17" s="69"/>
      <c r="P17" s="3"/>
      <c r="Q17" s="26"/>
      <c r="R17" s="664"/>
      <c r="S17" s="26"/>
      <c r="T17" s="593" t="str">
        <f>IF(C17="","",VLOOKUP(D17,'9. All Habitats + Multipliers'!$C$4:$K$102,5,FALSE))</f>
        <v/>
      </c>
      <c r="U17" s="594"/>
      <c r="V17" s="95" t="str">
        <f>IF(T17="","",VLOOKUP(T17,'11. Lists'!$B$47:$D$49,2,FALSE))</f>
        <v/>
      </c>
      <c r="W17" s="205" t="str">
        <f>IF(C17="","",VLOOKUP(D17,'10. Condition and Temporal'!$B$6:$C$103,2,FALSE))</f>
        <v/>
      </c>
      <c r="X17" s="95" t="str">
        <f>IF(W17="","",VLOOKUP(W17,'11. Lists'!$F$47:$G$51,2,FALSE))</f>
        <v/>
      </c>
      <c r="Y17" s="49"/>
      <c r="Z17" s="49"/>
      <c r="AA17" s="49"/>
      <c r="AB17" s="94" t="str">
        <f t="shared" si="6"/>
        <v/>
      </c>
      <c r="AC17" s="96" t="str">
        <f>IF(AB17="","",VLOOKUP(AB17,'11. Lists'!$F$36:$H$38,2,FALSE))</f>
        <v/>
      </c>
      <c r="AD17" s="95" t="str">
        <f>IF(AB17="","",VLOOKUP(AB17,'11. Lists'!$F$36:$H$38,3,FALSE))</f>
        <v/>
      </c>
      <c r="AE17" s="344" t="str">
        <f t="shared" si="3"/>
        <v/>
      </c>
      <c r="AF17" s="345" t="str">
        <f t="shared" si="4"/>
        <v/>
      </c>
      <c r="AG17" s="98" t="str">
        <f t="shared" si="5"/>
        <v/>
      </c>
      <c r="AH17" s="94" t="str">
        <f>IF(T17="","",VLOOKUP(T17,'11. Lists'!$B$47:$D$49,3,FALSE))</f>
        <v/>
      </c>
      <c r="AI17" s="95" t="str">
        <f>IF(D17="","",VLOOKUP(D17,'10. Condition and Temporal'!$B$6:$L$103,4,FALSE))</f>
        <v/>
      </c>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row>
    <row r="18" spans="1:128" ht="15.75" x14ac:dyDescent="0.25">
      <c r="A18" s="26"/>
      <c r="B18" s="298">
        <v>8</v>
      </c>
      <c r="C18" s="291"/>
      <c r="D18" s="760"/>
      <c r="E18" s="761"/>
      <c r="F18" s="702"/>
      <c r="G18" s="703"/>
      <c r="H18" s="704"/>
      <c r="I18" s="351"/>
      <c r="J18" s="352"/>
      <c r="K18" s="353"/>
      <c r="L18" s="347" t="str">
        <f t="shared" si="0"/>
        <v/>
      </c>
      <c r="M18" s="347" t="str">
        <f t="shared" si="1"/>
        <v/>
      </c>
      <c r="N18" s="406" t="str">
        <f t="shared" si="2"/>
        <v/>
      </c>
      <c r="O18" s="69"/>
      <c r="P18" s="3"/>
      <c r="Q18" s="26"/>
      <c r="R18" s="664"/>
      <c r="S18" s="26"/>
      <c r="T18" s="593" t="str">
        <f>IF(C18="","",VLOOKUP(D18,'9. All Habitats + Multipliers'!$C$4:$K$102,5,FALSE))</f>
        <v/>
      </c>
      <c r="U18" s="594"/>
      <c r="V18" s="95" t="str">
        <f>IF(T18="","",VLOOKUP(T18,'11. Lists'!$B$47:$D$49,2,FALSE))</f>
        <v/>
      </c>
      <c r="W18" s="205" t="str">
        <f>IF(C18="","",VLOOKUP(D18,'10. Condition and Temporal'!$B$6:$C$103,2,FALSE))</f>
        <v/>
      </c>
      <c r="X18" s="95" t="str">
        <f>IF(W18="","",VLOOKUP(W18,'11. Lists'!$F$47:$G$51,2,FALSE))</f>
        <v/>
      </c>
      <c r="Y18" s="49"/>
      <c r="Z18" s="49"/>
      <c r="AA18" s="49"/>
      <c r="AB18" s="94" t="str">
        <f t="shared" si="6"/>
        <v/>
      </c>
      <c r="AC18" s="96" t="str">
        <f>IF(AB18="","",VLOOKUP(AB18,'11. Lists'!$F$36:$H$38,2,FALSE))</f>
        <v/>
      </c>
      <c r="AD18" s="95" t="str">
        <f>IF(AB18="","",VLOOKUP(AB18,'11. Lists'!$F$36:$H$38,3,FALSE))</f>
        <v/>
      </c>
      <c r="AE18" s="344" t="str">
        <f t="shared" si="3"/>
        <v/>
      </c>
      <c r="AF18" s="345" t="str">
        <f t="shared" si="4"/>
        <v/>
      </c>
      <c r="AG18" s="98" t="str">
        <f t="shared" si="5"/>
        <v/>
      </c>
      <c r="AH18" s="94" t="str">
        <f>IF(T18="","",VLOOKUP(T18,'11. Lists'!$B$47:$D$49,3,FALSE))</f>
        <v/>
      </c>
      <c r="AI18" s="95" t="str">
        <f>IF(D18="","",VLOOKUP(D18,'10. Condition and Temporal'!$B$6:$L$103,4,FALSE))</f>
        <v/>
      </c>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row>
    <row r="19" spans="1:128" ht="15.75" x14ac:dyDescent="0.25">
      <c r="A19" s="26"/>
      <c r="B19" s="298">
        <v>9</v>
      </c>
      <c r="C19" s="291"/>
      <c r="D19" s="760"/>
      <c r="E19" s="761"/>
      <c r="F19" s="702"/>
      <c r="G19" s="703"/>
      <c r="H19" s="704"/>
      <c r="I19" s="351"/>
      <c r="J19" s="352"/>
      <c r="K19" s="353"/>
      <c r="L19" s="347" t="str">
        <f t="shared" si="0"/>
        <v/>
      </c>
      <c r="M19" s="347" t="str">
        <f t="shared" si="1"/>
        <v/>
      </c>
      <c r="N19" s="406" t="str">
        <f t="shared" si="2"/>
        <v/>
      </c>
      <c r="O19" s="69"/>
      <c r="P19" s="3"/>
      <c r="Q19" s="26"/>
      <c r="R19" s="664"/>
      <c r="S19" s="26"/>
      <c r="T19" s="593" t="str">
        <f>IF(C19="","",VLOOKUP(D19,'9. All Habitats + Multipliers'!$C$4:$K$102,5,FALSE))</f>
        <v/>
      </c>
      <c r="U19" s="594"/>
      <c r="V19" s="95" t="str">
        <f>IF(T19="","",VLOOKUP(T19,'11. Lists'!$B$47:$D$49,2,FALSE))</f>
        <v/>
      </c>
      <c r="W19" s="205" t="str">
        <f>IF(C19="","",VLOOKUP(D19,'10. Condition and Temporal'!$B$6:$C$103,2,FALSE))</f>
        <v/>
      </c>
      <c r="X19" s="95" t="str">
        <f>IF(W19="","",VLOOKUP(W19,'11. Lists'!$F$47:$G$51,2,FALSE))</f>
        <v/>
      </c>
      <c r="Y19" s="49"/>
      <c r="Z19" s="49"/>
      <c r="AA19" s="49"/>
      <c r="AB19" s="94" t="str">
        <f t="shared" si="6"/>
        <v/>
      </c>
      <c r="AC19" s="96" t="str">
        <f>IF(AB19="","",VLOOKUP(AB19,'11. Lists'!$F$36:$H$38,2,FALSE))</f>
        <v/>
      </c>
      <c r="AD19" s="95" t="str">
        <f>IF(AB19="","",VLOOKUP(AB19,'11. Lists'!$F$36:$H$38,3,FALSE))</f>
        <v/>
      </c>
      <c r="AE19" s="344" t="str">
        <f t="shared" si="3"/>
        <v/>
      </c>
      <c r="AF19" s="345" t="str">
        <f t="shared" si="4"/>
        <v/>
      </c>
      <c r="AG19" s="98" t="str">
        <f t="shared" si="5"/>
        <v/>
      </c>
      <c r="AH19" s="94" t="str">
        <f>IF(T19="","",VLOOKUP(T19,'11. Lists'!$B$47:$D$49,3,FALSE))</f>
        <v/>
      </c>
      <c r="AI19" s="95" t="str">
        <f>IF(D19="","",VLOOKUP(D19,'10. Condition and Temporal'!$B$6:$L$103,4,FALSE))</f>
        <v/>
      </c>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row>
    <row r="20" spans="1:128" ht="15.75" x14ac:dyDescent="0.25">
      <c r="A20" s="26"/>
      <c r="B20" s="298">
        <v>10</v>
      </c>
      <c r="C20" s="291"/>
      <c r="D20" s="760"/>
      <c r="E20" s="761"/>
      <c r="F20" s="702"/>
      <c r="G20" s="703"/>
      <c r="H20" s="704"/>
      <c r="I20" s="351"/>
      <c r="J20" s="352"/>
      <c r="K20" s="353"/>
      <c r="L20" s="347" t="str">
        <f t="shared" si="0"/>
        <v/>
      </c>
      <c r="M20" s="347" t="str">
        <f t="shared" si="1"/>
        <v/>
      </c>
      <c r="N20" s="406" t="str">
        <f t="shared" si="2"/>
        <v/>
      </c>
      <c r="O20" s="70"/>
      <c r="P20" s="8"/>
      <c r="Q20" s="26"/>
      <c r="R20" s="664"/>
      <c r="S20" s="26"/>
      <c r="T20" s="593" t="str">
        <f>IF(C20="","",VLOOKUP(D20,'9. All Habitats + Multipliers'!$C$4:$K$102,5,FALSE))</f>
        <v/>
      </c>
      <c r="U20" s="594"/>
      <c r="V20" s="95" t="str">
        <f>IF(T20="","",VLOOKUP(T20,'11. Lists'!$B$47:$D$49,2,FALSE))</f>
        <v/>
      </c>
      <c r="W20" s="205" t="str">
        <f>IF(C20="","",VLOOKUP(D20,'10. Condition and Temporal'!$B$6:$C$103,2,FALSE))</f>
        <v/>
      </c>
      <c r="X20" s="95" t="str">
        <f>IF(W20="","",VLOOKUP(W20,'11. Lists'!$F$47:$G$51,2,FALSE))</f>
        <v/>
      </c>
      <c r="Y20" s="49"/>
      <c r="Z20" s="49"/>
      <c r="AA20" s="49"/>
      <c r="AB20" s="94" t="str">
        <f t="shared" si="6"/>
        <v/>
      </c>
      <c r="AC20" s="96" t="str">
        <f>IF(AB20="","",VLOOKUP(AB20,'11. Lists'!$F$36:$H$38,2,FALSE))</f>
        <v/>
      </c>
      <c r="AD20" s="95" t="str">
        <f>IF(AB20="","",VLOOKUP(AB20,'11. Lists'!$F$36:$H$38,3,FALSE))</f>
        <v/>
      </c>
      <c r="AE20" s="344" t="str">
        <f t="shared" si="3"/>
        <v/>
      </c>
      <c r="AF20" s="345" t="str">
        <f t="shared" si="4"/>
        <v/>
      </c>
      <c r="AG20" s="98" t="str">
        <f t="shared" si="5"/>
        <v/>
      </c>
      <c r="AH20" s="94" t="str">
        <f>IF(T20="","",VLOOKUP(T20,'11. Lists'!$B$47:$D$49,3,FALSE))</f>
        <v/>
      </c>
      <c r="AI20" s="95" t="str">
        <f>IF(D20="","",VLOOKUP(D20,'10. Condition and Temporal'!$B$6:$L$103,4,FALSE))</f>
        <v/>
      </c>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row>
    <row r="21" spans="1:128" ht="15.75" x14ac:dyDescent="0.25">
      <c r="A21" s="26"/>
      <c r="B21" s="298">
        <v>11</v>
      </c>
      <c r="C21" s="291"/>
      <c r="D21" s="760"/>
      <c r="E21" s="761"/>
      <c r="F21" s="702"/>
      <c r="G21" s="703"/>
      <c r="H21" s="704"/>
      <c r="I21" s="351"/>
      <c r="J21" s="352"/>
      <c r="K21" s="353"/>
      <c r="L21" s="347" t="str">
        <f t="shared" si="0"/>
        <v/>
      </c>
      <c r="M21" s="347" t="str">
        <f t="shared" si="1"/>
        <v/>
      </c>
      <c r="N21" s="406" t="str">
        <f t="shared" si="2"/>
        <v/>
      </c>
      <c r="O21" s="70"/>
      <c r="P21" s="8"/>
      <c r="Q21" s="26"/>
      <c r="R21" s="664"/>
      <c r="S21" s="26"/>
      <c r="T21" s="593" t="str">
        <f>IF(C21="","",VLOOKUP(D21,'9. All Habitats + Multipliers'!$C$4:$K$102,5,FALSE))</f>
        <v/>
      </c>
      <c r="U21" s="594"/>
      <c r="V21" s="95" t="str">
        <f>IF(T21="","",VLOOKUP(T21,'11. Lists'!$B$47:$D$49,2,FALSE))</f>
        <v/>
      </c>
      <c r="W21" s="205" t="str">
        <f>IF(C21="","",VLOOKUP(D21,'10. Condition and Temporal'!$B$6:$C$103,2,FALSE))</f>
        <v/>
      </c>
      <c r="X21" s="95" t="str">
        <f>IF(W21="","",VLOOKUP(W21,'11. Lists'!$F$47:$G$51,2,FALSE))</f>
        <v/>
      </c>
      <c r="Y21" s="49"/>
      <c r="Z21" s="49"/>
      <c r="AA21" s="49"/>
      <c r="AB21" s="94" t="str">
        <f t="shared" si="6"/>
        <v/>
      </c>
      <c r="AC21" s="96" t="str">
        <f>IF(AB21="","",VLOOKUP(AB21,'11. Lists'!$F$36:$H$38,2,FALSE))</f>
        <v/>
      </c>
      <c r="AD21" s="95" t="str">
        <f>IF(AB21="","",VLOOKUP(AB21,'11. Lists'!$F$36:$H$38,3,FALSE))</f>
        <v/>
      </c>
      <c r="AE21" s="344" t="str">
        <f t="shared" si="3"/>
        <v/>
      </c>
      <c r="AF21" s="345" t="str">
        <f t="shared" si="4"/>
        <v/>
      </c>
      <c r="AG21" s="98" t="str">
        <f t="shared" si="5"/>
        <v/>
      </c>
      <c r="AH21" s="94" t="str">
        <f>IF(T21="","",VLOOKUP(T21,'11. Lists'!$B$47:$D$49,3,FALSE))</f>
        <v/>
      </c>
      <c r="AI21" s="95" t="str">
        <f>IF(D21="","",VLOOKUP(D21,'10. Condition and Temporal'!$B$6:$L$103,4,FALSE))</f>
        <v/>
      </c>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row>
    <row r="22" spans="1:128" ht="15.75" x14ac:dyDescent="0.25">
      <c r="A22" s="26"/>
      <c r="B22" s="298">
        <v>12</v>
      </c>
      <c r="C22" s="291"/>
      <c r="D22" s="760"/>
      <c r="E22" s="761"/>
      <c r="F22" s="702"/>
      <c r="G22" s="703"/>
      <c r="H22" s="704"/>
      <c r="I22" s="351"/>
      <c r="J22" s="352"/>
      <c r="K22" s="353"/>
      <c r="L22" s="347" t="str">
        <f t="shared" si="0"/>
        <v/>
      </c>
      <c r="M22" s="347" t="str">
        <f t="shared" si="1"/>
        <v/>
      </c>
      <c r="N22" s="406" t="str">
        <f t="shared" si="2"/>
        <v/>
      </c>
      <c r="O22" s="70"/>
      <c r="P22" s="8"/>
      <c r="Q22" s="26"/>
      <c r="R22" s="664"/>
      <c r="S22" s="26"/>
      <c r="T22" s="593" t="str">
        <f>IF(C22="","",VLOOKUP(D22,'9. All Habitats + Multipliers'!$C$4:$K$102,5,FALSE))</f>
        <v/>
      </c>
      <c r="U22" s="594"/>
      <c r="V22" s="95" t="str">
        <f>IF(T22="","",VLOOKUP(T22,'11. Lists'!$B$47:$D$49,2,FALSE))</f>
        <v/>
      </c>
      <c r="W22" s="205" t="str">
        <f>IF(C22="","",VLOOKUP(D22,'10. Condition and Temporal'!$B$6:$C$103,2,FALSE))</f>
        <v/>
      </c>
      <c r="X22" s="95" t="str">
        <f>IF(W22="","",VLOOKUP(W22,'11. Lists'!$F$47:$G$51,2,FALSE))</f>
        <v/>
      </c>
      <c r="Y22" s="49"/>
      <c r="Z22" s="49"/>
      <c r="AA22" s="49"/>
      <c r="AB22" s="94" t="str">
        <f t="shared" si="6"/>
        <v/>
      </c>
      <c r="AC22" s="96" t="str">
        <f>IF(AB22="","",VLOOKUP(AB22,'11. Lists'!$F$36:$H$38,2,FALSE))</f>
        <v/>
      </c>
      <c r="AD22" s="95" t="str">
        <f>IF(AB22="","",VLOOKUP(AB22,'11. Lists'!$F$36:$H$38,3,FALSE))</f>
        <v/>
      </c>
      <c r="AE22" s="344" t="str">
        <f t="shared" si="3"/>
        <v/>
      </c>
      <c r="AF22" s="345" t="str">
        <f t="shared" si="4"/>
        <v/>
      </c>
      <c r="AG22" s="98" t="str">
        <f t="shared" si="5"/>
        <v/>
      </c>
      <c r="AH22" s="94" t="str">
        <f>IF(T22="","",VLOOKUP(T22,'11. Lists'!$B$47:$D$49,3,FALSE))</f>
        <v/>
      </c>
      <c r="AI22" s="95" t="str">
        <f>IF(D22="","",VLOOKUP(D22,'10. Condition and Temporal'!$B$6:$L$103,4,FALSE))</f>
        <v/>
      </c>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row>
    <row r="23" spans="1:128" ht="15.75" x14ac:dyDescent="0.25">
      <c r="A23" s="26"/>
      <c r="B23" s="298">
        <v>13</v>
      </c>
      <c r="C23" s="292"/>
      <c r="D23" s="760"/>
      <c r="E23" s="761"/>
      <c r="F23" s="702"/>
      <c r="G23" s="703"/>
      <c r="H23" s="704"/>
      <c r="I23" s="351"/>
      <c r="J23" s="352"/>
      <c r="K23" s="353"/>
      <c r="L23" s="347" t="str">
        <f t="shared" si="0"/>
        <v/>
      </c>
      <c r="M23" s="347" t="str">
        <f t="shared" si="1"/>
        <v/>
      </c>
      <c r="N23" s="406" t="str">
        <f t="shared" si="2"/>
        <v/>
      </c>
      <c r="O23" s="70"/>
      <c r="P23" s="8"/>
      <c r="Q23" s="26"/>
      <c r="R23" s="664"/>
      <c r="S23" s="26"/>
      <c r="T23" s="593" t="str">
        <f>IF(C23="","",VLOOKUP(D23,'9. All Habitats + Multipliers'!$C$4:$K$102,5,FALSE))</f>
        <v/>
      </c>
      <c r="U23" s="594"/>
      <c r="V23" s="95" t="str">
        <f>IF(T23="","",VLOOKUP(T23,'11. Lists'!$B$47:$D$49,2,FALSE))</f>
        <v/>
      </c>
      <c r="W23" s="205" t="str">
        <f>IF(C23="","",VLOOKUP(D23,'10. Condition and Temporal'!$B$6:$C$103,2,FALSE))</f>
        <v/>
      </c>
      <c r="X23" s="95" t="str">
        <f>IF(W23="","",VLOOKUP(W23,'11. Lists'!$F$47:$G$51,2,FALSE))</f>
        <v/>
      </c>
      <c r="Y23" s="49"/>
      <c r="Z23" s="49"/>
      <c r="AA23" s="49"/>
      <c r="AB23" s="94" t="str">
        <f t="shared" si="6"/>
        <v/>
      </c>
      <c r="AC23" s="96" t="str">
        <f>IF(AB23="","",VLOOKUP(AB23,'11. Lists'!$F$36:$H$38,2,FALSE))</f>
        <v/>
      </c>
      <c r="AD23" s="95" t="str">
        <f>IF(AB23="","",VLOOKUP(AB23,'11. Lists'!$F$36:$H$38,3,FALSE))</f>
        <v/>
      </c>
      <c r="AE23" s="344" t="str">
        <f t="shared" si="3"/>
        <v/>
      </c>
      <c r="AF23" s="345" t="str">
        <f t="shared" si="4"/>
        <v/>
      </c>
      <c r="AG23" s="98" t="str">
        <f t="shared" si="5"/>
        <v/>
      </c>
      <c r="AH23" s="94" t="str">
        <f>IF(T23="","",VLOOKUP(T23,'11. Lists'!$B$47:$D$49,3,FALSE))</f>
        <v/>
      </c>
      <c r="AI23" s="95" t="str">
        <f>IF(D23="","",VLOOKUP(D23,'10. Condition and Temporal'!$B$6:$L$103,4,FALSE))</f>
        <v/>
      </c>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row>
    <row r="24" spans="1:128" ht="15.75" x14ac:dyDescent="0.25">
      <c r="A24" s="26"/>
      <c r="B24" s="298">
        <v>14</v>
      </c>
      <c r="C24" s="292"/>
      <c r="D24" s="760"/>
      <c r="E24" s="761"/>
      <c r="F24" s="702"/>
      <c r="G24" s="703"/>
      <c r="H24" s="704"/>
      <c r="I24" s="351"/>
      <c r="J24" s="352"/>
      <c r="K24" s="353"/>
      <c r="L24" s="347" t="str">
        <f t="shared" si="0"/>
        <v/>
      </c>
      <c r="M24" s="347" t="str">
        <f t="shared" si="1"/>
        <v/>
      </c>
      <c r="N24" s="406" t="str">
        <f t="shared" si="2"/>
        <v/>
      </c>
      <c r="O24" s="70"/>
      <c r="P24" s="8"/>
      <c r="Q24" s="26"/>
      <c r="R24" s="664"/>
      <c r="S24" s="26"/>
      <c r="T24" s="593" t="str">
        <f>IF(C24="","",VLOOKUP(D24,'9. All Habitats + Multipliers'!$C$4:$K$102,5,FALSE))</f>
        <v/>
      </c>
      <c r="U24" s="594"/>
      <c r="V24" s="95" t="str">
        <f>IF(T24="","",VLOOKUP(T24,'11. Lists'!$B$47:$D$49,2,FALSE))</f>
        <v/>
      </c>
      <c r="W24" s="205" t="str">
        <f>IF(C24="","",VLOOKUP(D24,'10. Condition and Temporal'!$B$6:$C$103,2,FALSE))</f>
        <v/>
      </c>
      <c r="X24" s="95" t="str">
        <f>IF(W24="","",VLOOKUP(W24,'11. Lists'!$F$47:$G$51,2,FALSE))</f>
        <v/>
      </c>
      <c r="Y24" s="49"/>
      <c r="Z24" s="49"/>
      <c r="AA24" s="49"/>
      <c r="AB24" s="94" t="str">
        <f t="shared" si="6"/>
        <v/>
      </c>
      <c r="AC24" s="96" t="str">
        <f>IF(AB24="","",VLOOKUP(AB24,'11. Lists'!$F$36:$H$38,2,FALSE))</f>
        <v/>
      </c>
      <c r="AD24" s="95" t="str">
        <f>IF(AB24="","",VLOOKUP(AB24,'11. Lists'!$F$36:$H$38,3,FALSE))</f>
        <v/>
      </c>
      <c r="AE24" s="344" t="str">
        <f t="shared" si="3"/>
        <v/>
      </c>
      <c r="AF24" s="345" t="str">
        <f t="shared" si="4"/>
        <v/>
      </c>
      <c r="AG24" s="98" t="str">
        <f t="shared" si="5"/>
        <v/>
      </c>
      <c r="AH24" s="94" t="str">
        <f>IF(T24="","",VLOOKUP(T24,'11. Lists'!$B$47:$D$49,3,FALSE))</f>
        <v/>
      </c>
      <c r="AI24" s="95" t="str">
        <f>IF(D24="","",VLOOKUP(D24,'10. Condition and Temporal'!$B$6:$L$103,4,FALSE))</f>
        <v/>
      </c>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row>
    <row r="25" spans="1:128" ht="15.75" x14ac:dyDescent="0.25">
      <c r="A25" s="26"/>
      <c r="B25" s="298">
        <v>15</v>
      </c>
      <c r="C25" s="292"/>
      <c r="D25" s="760"/>
      <c r="E25" s="761"/>
      <c r="F25" s="702"/>
      <c r="G25" s="703"/>
      <c r="H25" s="704"/>
      <c r="I25" s="351"/>
      <c r="J25" s="352"/>
      <c r="K25" s="353"/>
      <c r="L25" s="347" t="str">
        <f t="shared" si="0"/>
        <v/>
      </c>
      <c r="M25" s="347" t="str">
        <f t="shared" si="1"/>
        <v/>
      </c>
      <c r="N25" s="406" t="str">
        <f t="shared" si="2"/>
        <v/>
      </c>
      <c r="O25" s="70"/>
      <c r="P25" s="8"/>
      <c r="Q25" s="26"/>
      <c r="R25" s="664"/>
      <c r="S25" s="26"/>
      <c r="T25" s="593" t="str">
        <f>IF(C25="","",VLOOKUP(D25,'9. All Habitats + Multipliers'!$C$4:$K$102,5,FALSE))</f>
        <v/>
      </c>
      <c r="U25" s="594"/>
      <c r="V25" s="95" t="str">
        <f>IF(T25="","",VLOOKUP(T25,'11. Lists'!$B$47:$D$49,2,FALSE))</f>
        <v/>
      </c>
      <c r="W25" s="205" t="str">
        <f>IF(C25="","",VLOOKUP(D25,'10. Condition and Temporal'!$B$6:$C$103,2,FALSE))</f>
        <v/>
      </c>
      <c r="X25" s="95" t="str">
        <f>IF(W25="","",VLOOKUP(W25,'11. Lists'!$F$47:$G$51,2,FALSE))</f>
        <v/>
      </c>
      <c r="Y25" s="49"/>
      <c r="Z25" s="49"/>
      <c r="AA25" s="49"/>
      <c r="AB25" s="94" t="str">
        <f t="shared" si="6"/>
        <v/>
      </c>
      <c r="AC25" s="96" t="str">
        <f>IF(AB25="","",VLOOKUP(AB25,'11. Lists'!$F$36:$H$38,2,FALSE))</f>
        <v/>
      </c>
      <c r="AD25" s="95" t="str">
        <f>IF(AB25="","",VLOOKUP(AB25,'11. Lists'!$F$36:$H$38,3,FALSE))</f>
        <v/>
      </c>
      <c r="AE25" s="344" t="str">
        <f t="shared" si="3"/>
        <v/>
      </c>
      <c r="AF25" s="345" t="str">
        <f t="shared" si="4"/>
        <v/>
      </c>
      <c r="AG25" s="98" t="str">
        <f t="shared" si="5"/>
        <v/>
      </c>
      <c r="AH25" s="94" t="str">
        <f>IF(T25="","",VLOOKUP(T25,'11. Lists'!$B$47:$D$49,3,FALSE))</f>
        <v/>
      </c>
      <c r="AI25" s="95" t="str">
        <f>IF(D25="","",VLOOKUP(D25,'10. Condition and Temporal'!$B$6:$L$103,4,FALSE))</f>
        <v/>
      </c>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row>
    <row r="26" spans="1:128" ht="15.75" x14ac:dyDescent="0.25">
      <c r="A26" s="26"/>
      <c r="B26" s="298">
        <v>16</v>
      </c>
      <c r="C26" s="292"/>
      <c r="D26" s="760"/>
      <c r="E26" s="761"/>
      <c r="F26" s="702"/>
      <c r="G26" s="703"/>
      <c r="H26" s="704"/>
      <c r="I26" s="351"/>
      <c r="J26" s="352"/>
      <c r="K26" s="353"/>
      <c r="L26" s="347" t="str">
        <f t="shared" si="0"/>
        <v/>
      </c>
      <c r="M26" s="347" t="str">
        <f t="shared" si="1"/>
        <v/>
      </c>
      <c r="N26" s="406" t="str">
        <f t="shared" si="2"/>
        <v/>
      </c>
      <c r="O26" s="70"/>
      <c r="P26" s="8"/>
      <c r="Q26" s="26"/>
      <c r="R26" s="664"/>
      <c r="S26" s="26"/>
      <c r="T26" s="593" t="str">
        <f>IF(C26="","",VLOOKUP(D26,'9. All Habitats + Multipliers'!$C$4:$K$102,5,FALSE))</f>
        <v/>
      </c>
      <c r="U26" s="594"/>
      <c r="V26" s="95" t="str">
        <f>IF(T26="","",VLOOKUP(T26,'11. Lists'!$B$47:$D$49,2,FALSE))</f>
        <v/>
      </c>
      <c r="W26" s="205" t="str">
        <f>IF(C26="","",VLOOKUP(D26,'10. Condition and Temporal'!$B$6:$C$103,2,FALSE))</f>
        <v/>
      </c>
      <c r="X26" s="95" t="str">
        <f>IF(W26="","",VLOOKUP(W26,'11. Lists'!$F$47:$G$51,2,FALSE))</f>
        <v/>
      </c>
      <c r="Y26" s="49"/>
      <c r="Z26" s="49"/>
      <c r="AA26" s="49"/>
      <c r="AB26" s="94" t="str">
        <f t="shared" si="6"/>
        <v/>
      </c>
      <c r="AC26" s="96" t="str">
        <f>IF(AB26="","",VLOOKUP(AB26,'11. Lists'!$F$36:$H$38,2,FALSE))</f>
        <v/>
      </c>
      <c r="AD26" s="95" t="str">
        <f>IF(AB26="","",VLOOKUP(AB26,'11. Lists'!$F$36:$H$38,3,FALSE))</f>
        <v/>
      </c>
      <c r="AE26" s="344" t="str">
        <f t="shared" si="3"/>
        <v/>
      </c>
      <c r="AF26" s="345" t="str">
        <f t="shared" si="4"/>
        <v/>
      </c>
      <c r="AG26" s="98" t="str">
        <f t="shared" si="5"/>
        <v/>
      </c>
      <c r="AH26" s="94" t="str">
        <f>IF(T26="","",VLOOKUP(T26,'11. Lists'!$B$47:$D$49,3,FALSE))</f>
        <v/>
      </c>
      <c r="AI26" s="95" t="str">
        <f>IF(D26="","",VLOOKUP(D26,'10. Condition and Temporal'!$B$6:$L$103,4,FALSE))</f>
        <v/>
      </c>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row>
    <row r="27" spans="1:128" ht="15.75" x14ac:dyDescent="0.25">
      <c r="A27" s="26"/>
      <c r="B27" s="298">
        <v>17</v>
      </c>
      <c r="C27" s="292"/>
      <c r="D27" s="760"/>
      <c r="E27" s="761"/>
      <c r="F27" s="702"/>
      <c r="G27" s="703"/>
      <c r="H27" s="704"/>
      <c r="I27" s="351"/>
      <c r="J27" s="352"/>
      <c r="K27" s="353"/>
      <c r="L27" s="347" t="str">
        <f t="shared" si="0"/>
        <v/>
      </c>
      <c r="M27" s="347" t="str">
        <f t="shared" si="1"/>
        <v/>
      </c>
      <c r="N27" s="406" t="str">
        <f t="shared" si="2"/>
        <v/>
      </c>
      <c r="O27" s="70"/>
      <c r="P27" s="8"/>
      <c r="Q27" s="26"/>
      <c r="R27" s="664"/>
      <c r="S27" s="26"/>
      <c r="T27" s="593" t="str">
        <f>IF(C27="","",VLOOKUP(D27,'9. All Habitats + Multipliers'!$C$4:$K$102,5,FALSE))</f>
        <v/>
      </c>
      <c r="U27" s="594"/>
      <c r="V27" s="95" t="str">
        <f>IF(T27="","",VLOOKUP(T27,'11. Lists'!$B$47:$D$49,2,FALSE))</f>
        <v/>
      </c>
      <c r="W27" s="205" t="str">
        <f>IF(C27="","",VLOOKUP(D27,'10. Condition and Temporal'!$B$6:$C$103,2,FALSE))</f>
        <v/>
      </c>
      <c r="X27" s="95" t="str">
        <f>IF(W27="","",VLOOKUP(W27,'11. Lists'!$F$47:$G$51,2,FALSE))</f>
        <v/>
      </c>
      <c r="Y27" s="49"/>
      <c r="Z27" s="49"/>
      <c r="AA27" s="49"/>
      <c r="AB27" s="94" t="str">
        <f t="shared" si="6"/>
        <v/>
      </c>
      <c r="AC27" s="96" t="str">
        <f>IF(AB27="","",VLOOKUP(AB27,'11. Lists'!$F$36:$H$38,2,FALSE))</f>
        <v/>
      </c>
      <c r="AD27" s="95" t="str">
        <f>IF(AB27="","",VLOOKUP(AB27,'11. Lists'!$F$36:$H$38,3,FALSE))</f>
        <v/>
      </c>
      <c r="AE27" s="344" t="str">
        <f t="shared" si="3"/>
        <v/>
      </c>
      <c r="AF27" s="345" t="str">
        <f t="shared" si="4"/>
        <v/>
      </c>
      <c r="AG27" s="98" t="str">
        <f t="shared" si="5"/>
        <v/>
      </c>
      <c r="AH27" s="94" t="str">
        <f>IF(T27="","",VLOOKUP(T27,'11. Lists'!$B$47:$D$49,3,FALSE))</f>
        <v/>
      </c>
      <c r="AI27" s="95" t="str">
        <f>IF(D27="","",VLOOKUP(D27,'10. Condition and Temporal'!$B$6:$L$103,4,FALSE))</f>
        <v/>
      </c>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row>
    <row r="28" spans="1:128" ht="15.75" x14ac:dyDescent="0.25">
      <c r="A28" s="26"/>
      <c r="B28" s="298">
        <v>18</v>
      </c>
      <c r="C28" s="292"/>
      <c r="D28" s="760"/>
      <c r="E28" s="761"/>
      <c r="F28" s="702"/>
      <c r="G28" s="703"/>
      <c r="H28" s="704"/>
      <c r="I28" s="351"/>
      <c r="J28" s="352"/>
      <c r="K28" s="353"/>
      <c r="L28" s="347" t="str">
        <f t="shared" si="0"/>
        <v/>
      </c>
      <c r="M28" s="347" t="str">
        <f t="shared" si="1"/>
        <v/>
      </c>
      <c r="N28" s="406" t="str">
        <f t="shared" si="2"/>
        <v/>
      </c>
      <c r="O28" s="70"/>
      <c r="P28" s="8"/>
      <c r="Q28" s="26"/>
      <c r="R28" s="664"/>
      <c r="S28" s="26"/>
      <c r="T28" s="593" t="str">
        <f>IF(C28="","",VLOOKUP(D28,'9. All Habitats + Multipliers'!$C$4:$K$102,5,FALSE))</f>
        <v/>
      </c>
      <c r="U28" s="594"/>
      <c r="V28" s="95" t="str">
        <f>IF(T28="","",VLOOKUP(T28,'11. Lists'!$B$47:$D$49,2,FALSE))</f>
        <v/>
      </c>
      <c r="W28" s="205" t="str">
        <f>IF(C28="","",VLOOKUP(D28,'10. Condition and Temporal'!$B$6:$C$103,2,FALSE))</f>
        <v/>
      </c>
      <c r="X28" s="95" t="str">
        <f>IF(W28="","",VLOOKUP(W28,'11. Lists'!$F$47:$G$51,2,FALSE))</f>
        <v/>
      </c>
      <c r="Y28" s="49"/>
      <c r="Z28" s="49"/>
      <c r="AA28" s="49"/>
      <c r="AB28" s="94" t="str">
        <f t="shared" si="6"/>
        <v/>
      </c>
      <c r="AC28" s="96" t="str">
        <f>IF(AB28="","",VLOOKUP(AB28,'11. Lists'!$F$36:$H$38,2,FALSE))</f>
        <v/>
      </c>
      <c r="AD28" s="95" t="str">
        <f>IF(AB28="","",VLOOKUP(AB28,'11. Lists'!$F$36:$H$38,3,FALSE))</f>
        <v/>
      </c>
      <c r="AE28" s="344" t="str">
        <f t="shared" si="3"/>
        <v/>
      </c>
      <c r="AF28" s="345" t="str">
        <f t="shared" si="4"/>
        <v/>
      </c>
      <c r="AG28" s="98" t="str">
        <f t="shared" si="5"/>
        <v/>
      </c>
      <c r="AH28" s="94" t="str">
        <f>IF(T28="","",VLOOKUP(T28,'11. Lists'!$B$47:$D$49,3,FALSE))</f>
        <v/>
      </c>
      <c r="AI28" s="95" t="str">
        <f>IF(D28="","",VLOOKUP(D28,'10. Condition and Temporal'!$B$6:$L$103,4,FALSE))</f>
        <v/>
      </c>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row>
    <row r="29" spans="1:128" ht="15.75" x14ac:dyDescent="0.25">
      <c r="A29" s="26"/>
      <c r="B29" s="298">
        <v>19</v>
      </c>
      <c r="C29" s="292"/>
      <c r="D29" s="760"/>
      <c r="E29" s="761"/>
      <c r="F29" s="702"/>
      <c r="G29" s="703"/>
      <c r="H29" s="704"/>
      <c r="I29" s="351"/>
      <c r="J29" s="352"/>
      <c r="K29" s="353"/>
      <c r="L29" s="347" t="str">
        <f t="shared" si="0"/>
        <v/>
      </c>
      <c r="M29" s="347" t="str">
        <f t="shared" si="1"/>
        <v/>
      </c>
      <c r="N29" s="406" t="str">
        <f t="shared" si="2"/>
        <v/>
      </c>
      <c r="O29" s="70"/>
      <c r="P29" s="8"/>
      <c r="Q29" s="26"/>
      <c r="R29" s="664"/>
      <c r="S29" s="26"/>
      <c r="T29" s="593" t="str">
        <f>IF(C29="","",VLOOKUP(D29,'9. All Habitats + Multipliers'!$C$4:$K$102,5,FALSE))</f>
        <v/>
      </c>
      <c r="U29" s="594"/>
      <c r="V29" s="95" t="str">
        <f>IF(T29="","",VLOOKUP(T29,'11. Lists'!$B$47:$D$49,2,FALSE))</f>
        <v/>
      </c>
      <c r="W29" s="205" t="str">
        <f>IF(C29="","",VLOOKUP(D29,'10. Condition and Temporal'!$B$6:$C$103,2,FALSE))</f>
        <v/>
      </c>
      <c r="X29" s="95" t="str">
        <f>IF(W29="","",VLOOKUP(W29,'11. Lists'!$F$47:$G$51,2,FALSE))</f>
        <v/>
      </c>
      <c r="Y29" s="49"/>
      <c r="Z29" s="49"/>
      <c r="AA29" s="49"/>
      <c r="AB29" s="94" t="str">
        <f t="shared" si="6"/>
        <v/>
      </c>
      <c r="AC29" s="96" t="str">
        <f>IF(AB29="","",VLOOKUP(AB29,'11. Lists'!$F$36:$H$38,2,FALSE))</f>
        <v/>
      </c>
      <c r="AD29" s="95" t="str">
        <f>IF(AB29="","",VLOOKUP(AB29,'11. Lists'!$F$36:$H$38,3,FALSE))</f>
        <v/>
      </c>
      <c r="AE29" s="344" t="str">
        <f t="shared" si="3"/>
        <v/>
      </c>
      <c r="AF29" s="345" t="str">
        <f t="shared" si="4"/>
        <v/>
      </c>
      <c r="AG29" s="98" t="str">
        <f t="shared" si="5"/>
        <v/>
      </c>
      <c r="AH29" s="94" t="str">
        <f>IF(T29="","",VLOOKUP(T29,'11. Lists'!$B$47:$D$49,3,FALSE))</f>
        <v/>
      </c>
      <c r="AI29" s="95" t="str">
        <f>IF(D29="","",VLOOKUP(D29,'10. Condition and Temporal'!$B$6:$L$103,4,FALSE))</f>
        <v/>
      </c>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row>
    <row r="30" spans="1:128" ht="16.5" thickBot="1" x14ac:dyDescent="0.3">
      <c r="A30" s="26"/>
      <c r="B30" s="299">
        <v>20</v>
      </c>
      <c r="C30" s="291"/>
      <c r="D30" s="769"/>
      <c r="E30" s="770"/>
      <c r="F30" s="702"/>
      <c r="G30" s="703"/>
      <c r="H30" s="704"/>
      <c r="I30" s="351"/>
      <c r="J30" s="352"/>
      <c r="K30" s="353"/>
      <c r="L30" s="483" t="str">
        <f t="shared" si="0"/>
        <v/>
      </c>
      <c r="M30" s="483" t="str">
        <f t="shared" si="1"/>
        <v/>
      </c>
      <c r="N30" s="484" t="str">
        <f t="shared" si="2"/>
        <v/>
      </c>
      <c r="O30" s="71"/>
      <c r="P30" s="4"/>
      <c r="Q30" s="26"/>
      <c r="R30" s="664"/>
      <c r="S30" s="26"/>
      <c r="T30" s="593" t="str">
        <f>IF(C30="","",VLOOKUP(D30,'9. All Habitats + Multipliers'!$C$4:$K$102,5,FALSE))</f>
        <v/>
      </c>
      <c r="U30" s="594"/>
      <c r="V30" s="95" t="str">
        <f>IF(T30="","",VLOOKUP(T30,'11. Lists'!$B$47:$D$49,2,FALSE))</f>
        <v/>
      </c>
      <c r="W30" s="205" t="str">
        <f>IF(C30="","",VLOOKUP(D30,'10. Condition and Temporal'!$B$6:$C$103,2,FALSE))</f>
        <v/>
      </c>
      <c r="X30" s="95" t="str">
        <f>IF(W30="","",VLOOKUP(W30,'11. Lists'!$F$47:$G$51,2,FALSE))</f>
        <v/>
      </c>
      <c r="Y30" s="49"/>
      <c r="Z30" s="49"/>
      <c r="AA30" s="49"/>
      <c r="AB30" s="94" t="str">
        <f t="shared" si="6"/>
        <v/>
      </c>
      <c r="AC30" s="96" t="str">
        <f>IF(AB30="","",VLOOKUP(AB30,'11. Lists'!$F$36:$H$38,2,FALSE))</f>
        <v/>
      </c>
      <c r="AD30" s="95" t="str">
        <f>IF(AB30="","",VLOOKUP(AB30,'11. Lists'!$F$36:$H$38,3,FALSE))</f>
        <v/>
      </c>
      <c r="AE30" s="344" t="str">
        <f t="shared" si="3"/>
        <v/>
      </c>
      <c r="AF30" s="345" t="str">
        <f t="shared" si="4"/>
        <v/>
      </c>
      <c r="AG30" s="98" t="str">
        <f t="shared" si="5"/>
        <v/>
      </c>
      <c r="AH30" s="94" t="str">
        <f>IF(T30="","",VLOOKUP(T30,'11. Lists'!$B$47:$D$49,3,FALSE))</f>
        <v/>
      </c>
      <c r="AI30" s="95" t="str">
        <f>IF(D30="","",VLOOKUP(D30,'10. Condition and Temporal'!$B$6:$L$103,4,FALSE))</f>
        <v/>
      </c>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row>
    <row r="31" spans="1:128" ht="23.1" customHeight="1" thickBot="1" x14ac:dyDescent="0.3">
      <c r="A31" s="26"/>
      <c r="B31" s="299" t="s">
        <v>78</v>
      </c>
      <c r="C31" s="99" t="s">
        <v>949</v>
      </c>
      <c r="D31" s="768" t="s">
        <v>950</v>
      </c>
      <c r="E31" s="648"/>
      <c r="F31" s="715" t="s">
        <v>363</v>
      </c>
      <c r="G31" s="716"/>
      <c r="H31" s="717"/>
      <c r="I31" s="370">
        <f>I99</f>
        <v>529.02719999999988</v>
      </c>
      <c r="J31" s="371">
        <f>L99</f>
        <v>81.388799999999989</v>
      </c>
      <c r="K31" s="482">
        <f>O99</f>
        <v>0</v>
      </c>
      <c r="L31" s="477">
        <f>IF(C31="","",((I31/10000)*V31*X31)*AD31)</f>
        <v>0.48670502399999982</v>
      </c>
      <c r="M31" s="485">
        <f>IF(C31="","",I31-J31-K31)</f>
        <v>447.63839999999988</v>
      </c>
      <c r="N31" s="486">
        <f>IF(C31="","",((M31/10000)*V31*X31)*AD31)</f>
        <v>0.41182732799999983</v>
      </c>
      <c r="O31" s="13"/>
      <c r="P31" s="14"/>
      <c r="Q31" s="26"/>
      <c r="R31" s="664"/>
      <c r="S31" s="26"/>
      <c r="T31" s="595" t="str">
        <f>IF(C31="","",VLOOKUP(D31,'9. All Habitats + Multipliers'!$C$4:$K$102,5,FALSE))</f>
        <v>Medium</v>
      </c>
      <c r="U31" s="596"/>
      <c r="V31" s="101">
        <f>IF(T31="","",VLOOKUP(T31,'11. Lists'!$B$47:$D$49,2,FALSE))</f>
        <v>4</v>
      </c>
      <c r="W31" s="394" t="str">
        <f>IF(C31="","",VLOOKUP(D31,'10. Condition and Temporal'!$B$6:$C$103,2,FALSE))</f>
        <v>Moderate</v>
      </c>
      <c r="X31" s="101">
        <f>IF(W31="","",VLOOKUP(W31,'11. Lists'!$F$47:$G$51,2,FALSE))</f>
        <v>2</v>
      </c>
      <c r="Y31" s="49"/>
      <c r="Z31" s="49"/>
      <c r="AA31" s="49"/>
      <c r="AB31" s="100" t="str">
        <f>IF(F31="","",F31)</f>
        <v>Formally identified in local strategy</v>
      </c>
      <c r="AC31" s="102" t="str">
        <f>IF(AB31="","",VLOOKUP(AB31,'11. Lists'!$F$36:$H$38,2,FALSE))</f>
        <v xml:space="preserve">High strategic significance </v>
      </c>
      <c r="AD31" s="101">
        <f>IF(AB31="","",VLOOKUP(AB31,'11. Lists'!$F$36:$H$38,3,FALSE))</f>
        <v>1.1499999999999999</v>
      </c>
      <c r="AE31" s="97">
        <f>IF(D31="","",((J31/10000)*V31*X31)*(AD31))</f>
        <v>7.4877695999999994E-2</v>
      </c>
      <c r="AF31" s="103">
        <f>IF(D31="","",((K31/10000)*V31*X31)*(AD31))</f>
        <v>0</v>
      </c>
      <c r="AG31" s="104">
        <f t="shared" si="5"/>
        <v>447.63839999999988</v>
      </c>
      <c r="AH31" s="100" t="str">
        <f>IF(T31="","",VLOOKUP(T31,'11. Lists'!$B$47:$D$49,3,FALSE))</f>
        <v>Same broad habitat or a higher distinctiveness habitat required</v>
      </c>
      <c r="AI31" s="95" t="str">
        <f>IF(D31="","",VLOOKUP(D31,'10. Condition and Temporal'!$B$6:$L$103,4,FALSE))</f>
        <v>Urban/rural tree</v>
      </c>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row>
    <row r="32" spans="1:128" s="26" customFormat="1" ht="15.75" thickBot="1" x14ac:dyDescent="0.3">
      <c r="D32" s="90"/>
      <c r="E32" s="105"/>
      <c r="F32" s="105"/>
      <c r="G32" s="105"/>
      <c r="H32" s="161" t="s">
        <v>81</v>
      </c>
      <c r="I32" s="372">
        <f>SUM(I11:I30)</f>
        <v>1380</v>
      </c>
      <c r="J32" s="373">
        <f>SUM(J11:J30)</f>
        <v>0</v>
      </c>
      <c r="K32" s="374">
        <f>SUM(K11:K30)</f>
        <v>0</v>
      </c>
      <c r="L32" s="313">
        <f>SUM(L11:L31)</f>
        <v>0.76270502399999984</v>
      </c>
      <c r="M32" s="365">
        <f>SUM(M11:M30)</f>
        <v>1380</v>
      </c>
      <c r="N32" s="314">
        <f>SUM(N11:N31)</f>
        <v>0.68782732799999979</v>
      </c>
      <c r="R32" s="664"/>
    </row>
    <row r="33" spans="2:34" s="26" customFormat="1" x14ac:dyDescent="0.25">
      <c r="D33" s="90"/>
      <c r="E33" s="105"/>
      <c r="F33" s="105"/>
      <c r="G33" s="105"/>
      <c r="H33" s="315" t="s">
        <v>82</v>
      </c>
      <c r="I33" s="720" t="str">
        <f>IF(AND('3. Desktop Assessment'!C6="Residential", I32&lt;10000),"Areas Acceptable 🗸", IF(I32&gt;5000,"Error - Site exceeds areas appropriate for the small sites metric ▲","Areas Acceptable 🗸"))</f>
        <v>Areas Acceptable 🗸</v>
      </c>
      <c r="J33" s="720"/>
      <c r="K33" s="720"/>
      <c r="L33" s="720"/>
      <c r="M33" s="720"/>
      <c r="N33" s="721"/>
      <c r="O33" s="166">
        <f>IFERROR(FIND("Error",I33),0)</f>
        <v>0</v>
      </c>
      <c r="R33" s="106"/>
    </row>
    <row r="34" spans="2:34" s="26" customFormat="1" x14ac:dyDescent="0.25">
      <c r="D34" s="90"/>
      <c r="E34" s="105"/>
      <c r="F34" s="105"/>
      <c r="G34" s="105"/>
      <c r="H34" s="316" t="s">
        <v>83</v>
      </c>
      <c r="I34" s="722" t="str">
        <f>IF(I32&lt;J32+K32,"Error - Areas Retained and Enhanced Exceed Total Area ▲","Areas Acceptable 🗸")</f>
        <v>Areas Acceptable 🗸</v>
      </c>
      <c r="J34" s="722"/>
      <c r="K34" s="722"/>
      <c r="L34" s="722"/>
      <c r="M34" s="722"/>
      <c r="N34" s="723"/>
      <c r="O34" s="166">
        <f>IFERROR(FIND("Error",I34),0)</f>
        <v>0</v>
      </c>
      <c r="R34" s="106"/>
    </row>
    <row r="35" spans="2:34" s="26" customFormat="1" ht="15.75" thickBot="1" x14ac:dyDescent="0.3">
      <c r="D35" s="90"/>
      <c r="E35" s="105"/>
      <c r="F35" s="105"/>
      <c r="G35" s="105"/>
      <c r="H35" s="306" t="s">
        <v>84</v>
      </c>
      <c r="I35" s="700" t="str">
        <f>IF(I32=0,"Areas Acceptable 🗸",IF(I32&lt;&gt;'3. Desktop Assessment'!C7,"Error - Areas Entered Does Not Match Stated Site Area ▲","Areas Acceptable 🗸"))</f>
        <v>Areas Acceptable 🗸</v>
      </c>
      <c r="J35" s="700"/>
      <c r="K35" s="700"/>
      <c r="L35" s="700"/>
      <c r="M35" s="700"/>
      <c r="N35" s="701"/>
      <c r="O35" s="166">
        <f>IFERROR(FIND("Error",I35),0)</f>
        <v>0</v>
      </c>
      <c r="R35" s="664" t="s">
        <v>45</v>
      </c>
    </row>
    <row r="36" spans="2:34" s="26" customFormat="1" ht="21" x14ac:dyDescent="0.35">
      <c r="B36" s="58" t="s">
        <v>85</v>
      </c>
      <c r="D36" s="89"/>
      <c r="E36" s="105"/>
      <c r="F36" s="105"/>
      <c r="G36" s="105"/>
      <c r="I36" s="27"/>
      <c r="O36" s="166">
        <f>COUNTIF(L11:N30,"*"&amp;"error"&amp;"*")</f>
        <v>0</v>
      </c>
      <c r="R36" s="664"/>
    </row>
    <row r="37" spans="2:34" s="26" customFormat="1" ht="15.75" customHeight="1" thickBot="1" x14ac:dyDescent="0.3">
      <c r="R37" s="664"/>
    </row>
    <row r="38" spans="2:34" s="26" customFormat="1" ht="16.149999999999999" customHeight="1" x14ac:dyDescent="0.25">
      <c r="B38" s="672" t="s">
        <v>39</v>
      </c>
      <c r="C38" s="679"/>
      <c r="D38" s="680"/>
      <c r="E38" s="674" t="s">
        <v>86</v>
      </c>
      <c r="F38" s="718"/>
      <c r="G38" s="687"/>
      <c r="H38" s="718" t="s">
        <v>87</v>
      </c>
      <c r="I38" s="692" t="s">
        <v>1012</v>
      </c>
      <c r="J38" s="693"/>
      <c r="K38" s="694"/>
      <c r="L38" s="705" t="s">
        <v>88</v>
      </c>
      <c r="M38" s="679"/>
      <c r="N38" s="680"/>
      <c r="O38" s="674" t="s">
        <v>54</v>
      </c>
      <c r="P38" s="687"/>
      <c r="R38" s="664"/>
      <c r="T38" s="603" t="s">
        <v>55</v>
      </c>
      <c r="U38" s="604"/>
      <c r="V38" s="605"/>
      <c r="W38" s="698" t="s">
        <v>56</v>
      </c>
      <c r="X38" s="605"/>
      <c r="Y38" s="699"/>
      <c r="Z38" s="699"/>
      <c r="AA38" s="699"/>
      <c r="AB38" s="603" t="s">
        <v>57</v>
      </c>
      <c r="AC38" s="604"/>
      <c r="AD38" s="605"/>
      <c r="AE38" s="603" t="s">
        <v>89</v>
      </c>
      <c r="AF38" s="605"/>
      <c r="AG38" s="603" t="s">
        <v>90</v>
      </c>
      <c r="AH38" s="605"/>
    </row>
    <row r="39" spans="2:34" s="26" customFormat="1" ht="32.25" thickBot="1" x14ac:dyDescent="0.3">
      <c r="B39" s="673"/>
      <c r="C39" s="218" t="s">
        <v>61</v>
      </c>
      <c r="D39" s="219" t="s">
        <v>91</v>
      </c>
      <c r="E39" s="87" t="s">
        <v>92</v>
      </c>
      <c r="F39" s="619" t="s">
        <v>93</v>
      </c>
      <c r="G39" s="644"/>
      <c r="H39" s="620"/>
      <c r="I39" s="695"/>
      <c r="J39" s="696"/>
      <c r="K39" s="697"/>
      <c r="L39" s="615"/>
      <c r="M39" s="616"/>
      <c r="N39" s="619"/>
      <c r="O39" s="87" t="s">
        <v>69</v>
      </c>
      <c r="P39" s="91" t="s">
        <v>70</v>
      </c>
      <c r="R39" s="664"/>
      <c r="T39" s="601" t="s">
        <v>71</v>
      </c>
      <c r="U39" s="602"/>
      <c r="V39" s="93" t="s">
        <v>72</v>
      </c>
      <c r="W39" s="383" t="s">
        <v>73</v>
      </c>
      <c r="X39" s="93" t="s">
        <v>72</v>
      </c>
      <c r="Y39" s="395"/>
      <c r="Z39" s="395"/>
      <c r="AA39" s="395"/>
      <c r="AB39" s="92" t="s">
        <v>57</v>
      </c>
      <c r="AC39" s="50" t="s">
        <v>57</v>
      </c>
      <c r="AD39" s="93" t="s">
        <v>74</v>
      </c>
      <c r="AE39" s="92" t="s">
        <v>94</v>
      </c>
      <c r="AF39" s="93" t="s">
        <v>95</v>
      </c>
      <c r="AG39" s="92" t="s">
        <v>96</v>
      </c>
      <c r="AH39" s="93" t="s">
        <v>97</v>
      </c>
    </row>
    <row r="40" spans="2:34" s="26" customFormat="1" ht="60" x14ac:dyDescent="0.25">
      <c r="B40" s="297">
        <v>1</v>
      </c>
      <c r="C40" s="77" t="s">
        <v>178</v>
      </c>
      <c r="D40" s="74" t="s">
        <v>241</v>
      </c>
      <c r="E40" s="391" t="str">
        <f>IF(D40="","",VLOOKUP(D40,'10. Condition and Temporal'!$B$6:$D$103,3,FALSE))</f>
        <v>Moderate, Good</v>
      </c>
      <c r="F40" s="762" t="s">
        <v>98</v>
      </c>
      <c r="G40" s="763"/>
      <c r="H40" s="73" t="s">
        <v>919</v>
      </c>
      <c r="I40" s="657">
        <v>363</v>
      </c>
      <c r="J40" s="658"/>
      <c r="K40" s="659"/>
      <c r="L40" s="649">
        <f>IF(C40="","",IFERROR(IF(I40="","",((I40/10000)*(V40*X40))*(AH40*AF40)*AD40),"This intervention is not permitted within the SSM ▲"))</f>
        <v>0.12591453608711997</v>
      </c>
      <c r="M40" s="609"/>
      <c r="N40" s="650"/>
      <c r="O40" s="2" t="s">
        <v>1031</v>
      </c>
      <c r="P40" s="1"/>
      <c r="Q40" s="108"/>
      <c r="R40" s="664"/>
      <c r="T40" s="593" t="str">
        <f>IF(C40="","",VLOOKUP(D40,'9. All Habitats + Multipliers'!$C$4:$K$102,5,FALSE))</f>
        <v>Low</v>
      </c>
      <c r="U40" s="594"/>
      <c r="V40" s="95">
        <f>IF(T40="","",VLOOKUP(T40,'11. Lists'!$B$47:$D$49,2,FALSE))</f>
        <v>2</v>
      </c>
      <c r="W40" s="205" t="str">
        <f>IF(F40="","",F40)</f>
        <v>Moderate</v>
      </c>
      <c r="X40" s="95">
        <f>IF(W40="","",VLOOKUP(W40,'11. Lists'!$F$47:$G$51,2,FALSE))</f>
        <v>2</v>
      </c>
      <c r="Y40" s="49"/>
      <c r="Z40" s="49"/>
      <c r="AA40" s="49"/>
      <c r="AB40" s="94" t="str">
        <f>IF(H40="","",H40)</f>
        <v>Area/compensation not in local strategy/ no local strategy</v>
      </c>
      <c r="AC40" s="96" t="str">
        <f>IF(AB40="","",VLOOKUP(AB40,'11. Lists'!$F$36:$H$38,2,FALSE))</f>
        <v>Low Strategic Significance</v>
      </c>
      <c r="AD40" s="95">
        <f>IF(AB40="","",VLOOKUP(AB40,'11. Lists'!$F$36:$H$38,3,FALSE))</f>
        <v>1</v>
      </c>
      <c r="AE40" s="94">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4</v>
      </c>
      <c r="AF40" s="109">
        <f>IF(AE40="","",VLOOKUP(AE40,'11. Lists'!$I$47:$K$80,3,FALSE))</f>
        <v>0.86718000059999989</v>
      </c>
      <c r="AG40" s="94" t="str">
        <f>IF(D40="","",VLOOKUP(D40,'9. All Habitats + Multipliers'!$C$4:$K$102,7,FALSE))</f>
        <v>Low</v>
      </c>
      <c r="AH40" s="95">
        <f>IF(AG40="","",VLOOKUP(AG40,'11. Lists'!$J$35:$K$38,2,FALSE))</f>
        <v>1</v>
      </c>
    </row>
    <row r="41" spans="2:34" s="26" customFormat="1" ht="30" x14ac:dyDescent="0.25">
      <c r="B41" s="298">
        <v>2</v>
      </c>
      <c r="C41" s="78" t="s">
        <v>79</v>
      </c>
      <c r="D41" s="74" t="s">
        <v>273</v>
      </c>
      <c r="E41" s="391" t="str">
        <f>IF(D41="","",VLOOKUP(D41,'10. Condition and Temporal'!$B$6:$D$103,3,FALSE))</f>
        <v>Condition Assessment N/A</v>
      </c>
      <c r="F41" s="640" t="s">
        <v>924</v>
      </c>
      <c r="G41" s="641"/>
      <c r="H41" s="72" t="s">
        <v>919</v>
      </c>
      <c r="I41" s="657">
        <v>120</v>
      </c>
      <c r="J41" s="658"/>
      <c r="K41" s="659"/>
      <c r="L41" s="649">
        <f t="shared" ref="L41:L59" si="7">IF(C41="","",IFERROR(IF(I41="","",((I41/10000)*(V41*X41))*(AH41*AF41)*AD41),"This intervention is not permitted within the SSM ▲"))</f>
        <v>2.316E-2</v>
      </c>
      <c r="M41" s="609"/>
      <c r="N41" s="650"/>
      <c r="O41" s="62" t="s">
        <v>1032</v>
      </c>
      <c r="P41" s="12"/>
      <c r="Q41" s="108"/>
      <c r="R41" s="664"/>
      <c r="T41" s="593" t="str">
        <f>IF(C41="","",VLOOKUP(D41,'9. All Habitats + Multipliers'!$C$4:$K$102,5,FALSE))</f>
        <v>Low</v>
      </c>
      <c r="U41" s="594"/>
      <c r="V41" s="95">
        <f>IF(T41="","",VLOOKUP(T41,'11. Lists'!$B$47:$D$49,2,FALSE))</f>
        <v>2</v>
      </c>
      <c r="W41" s="205" t="str">
        <f>IF(F41="","",F41)</f>
        <v>Condition Assessment N/A</v>
      </c>
      <c r="X41" s="95">
        <f>IF(W41="","",VLOOKUP(W41,'11. Lists'!$F$47:$G$51,2,FALSE))</f>
        <v>1</v>
      </c>
      <c r="Y41" s="49"/>
      <c r="Z41" s="49"/>
      <c r="AA41" s="49"/>
      <c r="AB41" s="94" t="str">
        <f t="shared" ref="AB41:AB60" si="8">IF(H41="","",H41)</f>
        <v>Area/compensation not in local strategy/ no local strategy</v>
      </c>
      <c r="AC41" s="96" t="str">
        <f>IF(AB41="","",VLOOKUP(AB41,'11. Lists'!$F$36:$H$38,2,FALSE))</f>
        <v>Low Strategic Significance</v>
      </c>
      <c r="AD41" s="95">
        <f>IF(AB41="","",VLOOKUP(AB41,'11. Lists'!$F$36:$H$38,3,FALSE))</f>
        <v>1</v>
      </c>
      <c r="AE41" s="94">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1</v>
      </c>
      <c r="AF41" s="109">
        <f>IF(AE41="","",VLOOKUP(AE41,'11. Lists'!$I$47:$K$80,3,FALSE))</f>
        <v>0.96499999999999997</v>
      </c>
      <c r="AG41" s="94" t="str">
        <f>IF(D41="","",VLOOKUP(D41,'9. All Habitats + Multipliers'!$C$4:$K$102,7,FALSE))</f>
        <v>Low</v>
      </c>
      <c r="AH41" s="95">
        <f>IF(AG41="","",VLOOKUP(AG41,'11. Lists'!$J$35:$K$38,2,FALSE))</f>
        <v>1</v>
      </c>
    </row>
    <row r="42" spans="2:34" s="26" customFormat="1" ht="30" x14ac:dyDescent="0.25">
      <c r="B42" s="298">
        <v>3</v>
      </c>
      <c r="C42" s="78" t="s">
        <v>79</v>
      </c>
      <c r="D42" s="74" t="s">
        <v>267</v>
      </c>
      <c r="E42" s="391" t="str">
        <f>IF(D42="","",VLOOKUP(D42,'10. Condition and Temporal'!$B$6:$D$103,3,FALSE))</f>
        <v>N/A - Other</v>
      </c>
      <c r="F42" s="640" t="s">
        <v>321</v>
      </c>
      <c r="G42" s="641"/>
      <c r="H42" s="72" t="s">
        <v>919</v>
      </c>
      <c r="I42" s="657">
        <v>452</v>
      </c>
      <c r="J42" s="658"/>
      <c r="K42" s="659"/>
      <c r="L42" s="649">
        <f t="shared" si="7"/>
        <v>0</v>
      </c>
      <c r="M42" s="609"/>
      <c r="N42" s="650"/>
      <c r="O42" s="62" t="s">
        <v>1033</v>
      </c>
      <c r="P42" s="12"/>
      <c r="Q42" s="108"/>
      <c r="R42" s="664"/>
      <c r="T42" s="593" t="str">
        <f>IF(C42="","",VLOOKUP(D42,'9. All Habitats + Multipliers'!$C$4:$K$102,5,FALSE))</f>
        <v>V.Low</v>
      </c>
      <c r="U42" s="594"/>
      <c r="V42" s="95">
        <f>IF(T42="","",VLOOKUP(T42,'11. Lists'!$B$47:$D$49,2,FALSE))</f>
        <v>0</v>
      </c>
      <c r="W42" s="205" t="str">
        <f>IF(F42="","",F42)</f>
        <v>N/A - Other</v>
      </c>
      <c r="X42" s="95">
        <f>IF(W42="","",VLOOKUP(W42,'11. Lists'!$F$47:$G$51,2,FALSE))</f>
        <v>0</v>
      </c>
      <c r="Y42" s="49"/>
      <c r="Z42" s="49"/>
      <c r="AA42" s="49"/>
      <c r="AB42" s="94" t="str">
        <f t="shared" si="8"/>
        <v>Area/compensation not in local strategy/ no local strategy</v>
      </c>
      <c r="AC42" s="96" t="str">
        <f>IF(AB42="","",VLOOKUP(AB42,'11. Lists'!$F$36:$H$38,2,FALSE))</f>
        <v>Low Strategic Significance</v>
      </c>
      <c r="AD42" s="95">
        <f>IF(AB42="","",VLOOKUP(AB42,'11. Lists'!$F$36:$H$38,3,FALSE))</f>
        <v>1</v>
      </c>
      <c r="AE42" s="94">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0</v>
      </c>
      <c r="AF42" s="109">
        <f>IF(AE42="","",VLOOKUP(AE42,'11. Lists'!$I$47:$K$80,3,FALSE))</f>
        <v>1</v>
      </c>
      <c r="AG42" s="94" t="str">
        <f>IF(D42="","",VLOOKUP(D42,'9. All Habitats + Multipliers'!$C$4:$K$102,7,FALSE))</f>
        <v>Low</v>
      </c>
      <c r="AH42" s="95">
        <f>IF(AG42="","",VLOOKUP(AG42,'11. Lists'!$J$35:$K$38,2,FALSE))</f>
        <v>1</v>
      </c>
    </row>
    <row r="43" spans="2:34" s="26" customFormat="1" ht="30" x14ac:dyDescent="0.25">
      <c r="B43" s="298">
        <v>4</v>
      </c>
      <c r="C43" s="78" t="s">
        <v>79</v>
      </c>
      <c r="D43" s="74" t="s">
        <v>267</v>
      </c>
      <c r="E43" s="391" t="str">
        <f>IF(D43="","",VLOOKUP(D43,'10. Condition and Temporal'!$B$6:$D$103,3,FALSE))</f>
        <v>N/A - Other</v>
      </c>
      <c r="F43" s="640" t="s">
        <v>321</v>
      </c>
      <c r="G43" s="641"/>
      <c r="H43" s="72" t="s">
        <v>919</v>
      </c>
      <c r="I43" s="657">
        <v>421</v>
      </c>
      <c r="J43" s="658"/>
      <c r="K43" s="659"/>
      <c r="L43" s="649">
        <f t="shared" si="7"/>
        <v>0</v>
      </c>
      <c r="M43" s="609"/>
      <c r="N43" s="650"/>
      <c r="O43" s="62" t="s">
        <v>1034</v>
      </c>
      <c r="P43" s="12"/>
      <c r="Q43" s="108"/>
      <c r="R43" s="664"/>
      <c r="T43" s="593" t="str">
        <f>IF(C43="","",VLOOKUP(D43,'9. All Habitats + Multipliers'!$C$4:$K$102,5,FALSE))</f>
        <v>V.Low</v>
      </c>
      <c r="U43" s="594"/>
      <c r="V43" s="95">
        <f>IF(T43="","",VLOOKUP(T43,'11. Lists'!$B$47:$D$49,2,FALSE))</f>
        <v>0</v>
      </c>
      <c r="W43" s="205" t="str">
        <f>IF(F43="","",F43)</f>
        <v>N/A - Other</v>
      </c>
      <c r="X43" s="95">
        <f>IF(W43="","",VLOOKUP(W43,'11. Lists'!$F$47:$G$51,2,FALSE))</f>
        <v>0</v>
      </c>
      <c r="Y43" s="49"/>
      <c r="Z43" s="49"/>
      <c r="AA43" s="49"/>
      <c r="AB43" s="94" t="str">
        <f t="shared" si="8"/>
        <v>Area/compensation not in local strategy/ no local strategy</v>
      </c>
      <c r="AC43" s="96" t="str">
        <f>IF(AB43="","",VLOOKUP(AB43,'11. Lists'!$F$36:$H$38,2,FALSE))</f>
        <v>Low Strategic Significance</v>
      </c>
      <c r="AD43" s="95">
        <f>IF(AB43="","",VLOOKUP(AB43,'11. Lists'!$F$36:$H$38,3,FALSE))</f>
        <v>1</v>
      </c>
      <c r="AE43" s="94">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0</v>
      </c>
      <c r="AF43" s="109">
        <f>IF(AE43="","",VLOOKUP(AE43,'11. Lists'!$I$47:$K$80,3,FALSE))</f>
        <v>1</v>
      </c>
      <c r="AG43" s="94" t="str">
        <f>IF(D43="","",VLOOKUP(D43,'9. All Habitats + Multipliers'!$C$4:$K$102,7,FALSE))</f>
        <v>Low</v>
      </c>
      <c r="AH43" s="95">
        <f>IF(AG43="","",VLOOKUP(AG43,'11. Lists'!$J$35:$K$38,2,FALSE))</f>
        <v>1</v>
      </c>
    </row>
    <row r="44" spans="2:34" s="26" customFormat="1" ht="45" x14ac:dyDescent="0.25">
      <c r="B44" s="298">
        <v>5</v>
      </c>
      <c r="C44" s="78" t="s">
        <v>79</v>
      </c>
      <c r="D44" s="74" t="s">
        <v>264</v>
      </c>
      <c r="E44" s="391" t="str">
        <f>IF(D44="","",VLOOKUP(D44,'10. Condition and Temporal'!$B$6:$D$103,3,FALSE))</f>
        <v>Moderate, Good</v>
      </c>
      <c r="F44" s="640" t="s">
        <v>98</v>
      </c>
      <c r="G44" s="641"/>
      <c r="H44" s="72" t="s">
        <v>919</v>
      </c>
      <c r="I44" s="657">
        <v>23.6</v>
      </c>
      <c r="J44" s="658"/>
      <c r="K44" s="659"/>
      <c r="L44" s="649">
        <f t="shared" si="7"/>
        <v>1.0585548331109763E-2</v>
      </c>
      <c r="M44" s="609"/>
      <c r="N44" s="650"/>
      <c r="O44" s="62" t="s">
        <v>1035</v>
      </c>
      <c r="P44" s="12"/>
      <c r="R44" s="664"/>
      <c r="T44" s="593" t="str">
        <f>IF(C44="","",VLOOKUP(D44,'9. All Habitats + Multipliers'!$C$4:$K$102,5,FALSE))</f>
        <v>Medium</v>
      </c>
      <c r="U44" s="594"/>
      <c r="V44" s="95">
        <f>IF(T44="","",VLOOKUP(T44,'11. Lists'!$B$47:$D$49,2,FALSE))</f>
        <v>4</v>
      </c>
      <c r="W44" s="205" t="str">
        <f t="shared" ref="W44:W59" si="9">IF(F44="","",F44)</f>
        <v>Moderate</v>
      </c>
      <c r="X44" s="95">
        <f>IF(W44="","",VLOOKUP(W44,'11. Lists'!$F$47:$G$51,2,FALSE))</f>
        <v>2</v>
      </c>
      <c r="Y44" s="49"/>
      <c r="Z44" s="49"/>
      <c r="AA44" s="49"/>
      <c r="AB44" s="94" t="str">
        <f t="shared" si="8"/>
        <v>Area/compensation not in local strategy/ no local strategy</v>
      </c>
      <c r="AC44" s="96" t="str">
        <f>IF(AB44="","",VLOOKUP(AB44,'11. Lists'!$F$36:$H$38,2,FALSE))</f>
        <v>Low Strategic Significance</v>
      </c>
      <c r="AD44" s="95">
        <f>IF(AB44="","",VLOOKUP(AB44,'11. Lists'!$F$36:$H$38,3,FALSE))</f>
        <v>1</v>
      </c>
      <c r="AE44" s="94">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5</v>
      </c>
      <c r="AF44" s="109">
        <f>IF(AE44="","",VLOOKUP(AE44,'11. Lists'!$I$47:$K$80,3,FALSE))</f>
        <v>0.83682870060000003</v>
      </c>
      <c r="AG44" s="94" t="str">
        <f>IF(D44="","",VLOOKUP(D44,'9. All Habitats + Multipliers'!$C$4:$K$102,7,FALSE))</f>
        <v>Medium</v>
      </c>
      <c r="AH44" s="95">
        <f>IF(AG44="","",VLOOKUP(AG44,'11. Lists'!$J$35:$K$38,2,FALSE))</f>
        <v>0.67</v>
      </c>
    </row>
    <row r="45" spans="2:34" s="26" customFormat="1" ht="15.75" x14ac:dyDescent="0.25">
      <c r="B45" s="298">
        <v>6</v>
      </c>
      <c r="C45" s="78"/>
      <c r="D45" s="74"/>
      <c r="E45" s="391" t="str">
        <f>IF(D45="","",VLOOKUP(D45,'10. Condition and Temporal'!$B$6:$D$103,3,FALSE))</f>
        <v/>
      </c>
      <c r="F45" s="640"/>
      <c r="G45" s="641"/>
      <c r="H45" s="72"/>
      <c r="I45" s="657"/>
      <c r="J45" s="658"/>
      <c r="K45" s="659"/>
      <c r="L45" s="649" t="str">
        <f t="shared" si="7"/>
        <v/>
      </c>
      <c r="M45" s="609"/>
      <c r="N45" s="650"/>
      <c r="O45" s="62"/>
      <c r="P45" s="12"/>
      <c r="R45" s="664"/>
      <c r="T45" s="593" t="str">
        <f>IF(C45="","",VLOOKUP(D45,'9. All Habitats + Multipliers'!$C$4:$K$102,5,FALSE))</f>
        <v/>
      </c>
      <c r="U45" s="594"/>
      <c r="V45" s="95" t="str">
        <f>IF(T45="","",VLOOKUP(T45,'11. Lists'!$B$47:$D$49,2,FALSE))</f>
        <v/>
      </c>
      <c r="W45" s="205" t="str">
        <f t="shared" si="9"/>
        <v/>
      </c>
      <c r="X45" s="95" t="str">
        <f>IF(W45="","",VLOOKUP(W45,'11. Lists'!$F$47:$G$51,2,FALSE))</f>
        <v/>
      </c>
      <c r="Y45" s="49"/>
      <c r="Z45" s="49"/>
      <c r="AA45" s="49"/>
      <c r="AB45" s="94" t="str">
        <f t="shared" si="8"/>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15.75" x14ac:dyDescent="0.25">
      <c r="B46" s="298">
        <v>7</v>
      </c>
      <c r="C46" s="78"/>
      <c r="D46" s="74"/>
      <c r="E46" s="391" t="str">
        <f>IF(D46="","",VLOOKUP(D46,'10. Condition and Temporal'!$B$6:$D$103,3,FALSE))</f>
        <v/>
      </c>
      <c r="F46" s="640"/>
      <c r="G46" s="641"/>
      <c r="H46" s="72"/>
      <c r="I46" s="657"/>
      <c r="J46" s="658"/>
      <c r="K46" s="659"/>
      <c r="L46" s="649" t="str">
        <f t="shared" si="7"/>
        <v/>
      </c>
      <c r="M46" s="609"/>
      <c r="N46" s="650"/>
      <c r="O46" s="62"/>
      <c r="P46" s="12"/>
      <c r="R46" s="664"/>
      <c r="T46" s="593" t="str">
        <f>IF(C46="","",VLOOKUP(D46,'9. All Habitats + Multipliers'!$C$4:$K$102,5,FALSE))</f>
        <v/>
      </c>
      <c r="U46" s="594"/>
      <c r="V46" s="95" t="str">
        <f>IF(T46="","",VLOOKUP(T46,'11. Lists'!$B$47:$D$49,2,FALSE))</f>
        <v/>
      </c>
      <c r="W46" s="205" t="str">
        <f t="shared" si="9"/>
        <v/>
      </c>
      <c r="X46" s="95" t="str">
        <f>IF(W46="","",VLOOKUP(W46,'11. Lists'!$F$47:$G$51,2,FALSE))</f>
        <v/>
      </c>
      <c r="Y46" s="49"/>
      <c r="Z46" s="49"/>
      <c r="AA46" s="49"/>
      <c r="AB46" s="94" t="str">
        <f t="shared" si="8"/>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15.75" x14ac:dyDescent="0.25">
      <c r="B47" s="298">
        <v>8</v>
      </c>
      <c r="C47" s="78"/>
      <c r="D47" s="74"/>
      <c r="E47" s="391" t="str">
        <f>IF(D47="","",VLOOKUP(D47,'10. Condition and Temporal'!$B$6:$D$103,3,FALSE))</f>
        <v/>
      </c>
      <c r="F47" s="640"/>
      <c r="G47" s="641"/>
      <c r="H47" s="72"/>
      <c r="I47" s="657"/>
      <c r="J47" s="658"/>
      <c r="K47" s="659"/>
      <c r="L47" s="649" t="str">
        <f t="shared" si="7"/>
        <v/>
      </c>
      <c r="M47" s="609"/>
      <c r="N47" s="650"/>
      <c r="O47" s="62"/>
      <c r="P47" s="12"/>
      <c r="R47" s="664"/>
      <c r="T47" s="593" t="str">
        <f>IF(C47="","",VLOOKUP(D47,'9. All Habitats + Multipliers'!$C$4:$K$102,5,FALSE))</f>
        <v/>
      </c>
      <c r="U47" s="594"/>
      <c r="V47" s="95" t="str">
        <f>IF(T47="","",VLOOKUP(T47,'11. Lists'!$B$47:$D$49,2,FALSE))</f>
        <v/>
      </c>
      <c r="W47" s="205" t="str">
        <f t="shared" si="9"/>
        <v/>
      </c>
      <c r="X47" s="95" t="str">
        <f>IF(W47="","",VLOOKUP(W47,'11. Lists'!$F$47:$G$51,2,FALSE))</f>
        <v/>
      </c>
      <c r="Y47" s="49"/>
      <c r="Z47" s="49"/>
      <c r="AA47" s="49"/>
      <c r="AB47" s="94" t="str">
        <f t="shared" si="8"/>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15.75" x14ac:dyDescent="0.25">
      <c r="B48" s="298">
        <v>9</v>
      </c>
      <c r="C48" s="78"/>
      <c r="D48" s="74"/>
      <c r="E48" s="391" t="str">
        <f>IF(D48="","",VLOOKUP(D48,'10. Condition and Temporal'!$B$6:$D$103,3,FALSE))</f>
        <v/>
      </c>
      <c r="F48" s="640"/>
      <c r="G48" s="641"/>
      <c r="H48" s="72"/>
      <c r="I48" s="657"/>
      <c r="J48" s="658"/>
      <c r="K48" s="659"/>
      <c r="L48" s="649" t="str">
        <f t="shared" si="7"/>
        <v/>
      </c>
      <c r="M48" s="609"/>
      <c r="N48" s="650"/>
      <c r="O48" s="62"/>
      <c r="P48" s="12"/>
      <c r="R48" s="664"/>
      <c r="T48" s="593" t="str">
        <f>IF(C48="","",VLOOKUP(D48,'9. All Habitats + Multipliers'!$C$4:$K$102,5,FALSE))</f>
        <v/>
      </c>
      <c r="U48" s="594"/>
      <c r="V48" s="95" t="str">
        <f>IF(T48="","",VLOOKUP(T48,'11. Lists'!$B$47:$D$49,2,FALSE))</f>
        <v/>
      </c>
      <c r="W48" s="205" t="str">
        <f t="shared" si="9"/>
        <v/>
      </c>
      <c r="X48" s="95" t="str">
        <f>IF(W48="","",VLOOKUP(W48,'11. Lists'!$F$47:$G$51,2,FALSE))</f>
        <v/>
      </c>
      <c r="Y48" s="49"/>
      <c r="Z48" s="49"/>
      <c r="AA48" s="49"/>
      <c r="AB48" s="94" t="str">
        <f t="shared" si="8"/>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2:53" s="26" customFormat="1" ht="15.75" x14ac:dyDescent="0.25">
      <c r="B49" s="298">
        <v>10</v>
      </c>
      <c r="C49" s="79"/>
      <c r="D49" s="74"/>
      <c r="E49" s="391" t="str">
        <f>IF(D49="","",VLOOKUP(D49,'10. Condition and Temporal'!$B$6:$D$103,3,FALSE))</f>
        <v/>
      </c>
      <c r="F49" s="640"/>
      <c r="G49" s="641"/>
      <c r="H49" s="72"/>
      <c r="I49" s="657"/>
      <c r="J49" s="658"/>
      <c r="K49" s="659"/>
      <c r="L49" s="649" t="str">
        <f t="shared" si="7"/>
        <v/>
      </c>
      <c r="M49" s="609"/>
      <c r="N49" s="650"/>
      <c r="O49" s="62"/>
      <c r="P49" s="12"/>
      <c r="R49" s="664"/>
      <c r="T49" s="593" t="str">
        <f>IF(C49="","",VLOOKUP(D49,'9. All Habitats + Multipliers'!$C$4:$K$102,5,FALSE))</f>
        <v/>
      </c>
      <c r="U49" s="594"/>
      <c r="V49" s="95" t="str">
        <f>IF(T49="","",VLOOKUP(T49,'11. Lists'!$B$47:$D$49,2,FALSE))</f>
        <v/>
      </c>
      <c r="W49" s="205" t="str">
        <f t="shared" si="9"/>
        <v/>
      </c>
      <c r="X49" s="95" t="str">
        <f>IF(W49="","",VLOOKUP(W49,'11. Lists'!$F$47:$G$51,2,FALSE))</f>
        <v/>
      </c>
      <c r="Y49" s="49"/>
      <c r="Z49" s="49"/>
      <c r="AA49" s="49"/>
      <c r="AB49" s="94" t="str">
        <f t="shared" si="8"/>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2:53" s="26" customFormat="1" ht="15.75" x14ac:dyDescent="0.25">
      <c r="B50" s="298">
        <v>11</v>
      </c>
      <c r="C50" s="79"/>
      <c r="D50" s="74"/>
      <c r="E50" s="391" t="str">
        <f>IF(D50="","",VLOOKUP(D50,'10. Condition and Temporal'!$B$6:$D$103,3,FALSE))</f>
        <v/>
      </c>
      <c r="F50" s="640"/>
      <c r="G50" s="641"/>
      <c r="H50" s="72"/>
      <c r="I50" s="657"/>
      <c r="J50" s="658"/>
      <c r="K50" s="659"/>
      <c r="L50" s="649" t="str">
        <f t="shared" si="7"/>
        <v/>
      </c>
      <c r="M50" s="609"/>
      <c r="N50" s="650"/>
      <c r="O50" s="62"/>
      <c r="P50" s="12"/>
      <c r="R50" s="664"/>
      <c r="T50" s="593" t="str">
        <f>IF(C50="","",VLOOKUP(D50,'9. All Habitats + Multipliers'!$C$4:$K$102,5,FALSE))</f>
        <v/>
      </c>
      <c r="U50" s="594"/>
      <c r="V50" s="95" t="str">
        <f>IF(T50="","",VLOOKUP(T50,'11. Lists'!$B$47:$D$49,2,FALSE))</f>
        <v/>
      </c>
      <c r="W50" s="205" t="str">
        <f t="shared" si="9"/>
        <v/>
      </c>
      <c r="X50" s="95" t="str">
        <f>IF(W50="","",VLOOKUP(W50,'11. Lists'!$F$47:$G$51,2,FALSE))</f>
        <v/>
      </c>
      <c r="Y50" s="49"/>
      <c r="Z50" s="49"/>
      <c r="AA50" s="49"/>
      <c r="AB50" s="94" t="str">
        <f t="shared" si="8"/>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2:53" s="26" customFormat="1" ht="15.75" x14ac:dyDescent="0.25">
      <c r="B51" s="298">
        <v>12</v>
      </c>
      <c r="C51" s="79"/>
      <c r="D51" s="74"/>
      <c r="E51" s="391" t="str">
        <f>IF(D51="","",VLOOKUP(D51,'10. Condition and Temporal'!$B$6:$D$103,3,FALSE))</f>
        <v/>
      </c>
      <c r="F51" s="640"/>
      <c r="G51" s="641"/>
      <c r="H51" s="72"/>
      <c r="I51" s="657"/>
      <c r="J51" s="658"/>
      <c r="K51" s="659"/>
      <c r="L51" s="649" t="str">
        <f t="shared" si="7"/>
        <v/>
      </c>
      <c r="M51" s="609"/>
      <c r="N51" s="650"/>
      <c r="O51" s="62"/>
      <c r="P51" s="12"/>
      <c r="R51" s="664"/>
      <c r="T51" s="593" t="str">
        <f>IF(C51="","",VLOOKUP(D51,'9. All Habitats + Multipliers'!$C$4:$K$102,5,FALSE))</f>
        <v/>
      </c>
      <c r="U51" s="594"/>
      <c r="V51" s="95" t="str">
        <f>IF(T51="","",VLOOKUP(T51,'11. Lists'!$B$47:$D$49,2,FALSE))</f>
        <v/>
      </c>
      <c r="W51" s="205" t="str">
        <f t="shared" si="9"/>
        <v/>
      </c>
      <c r="X51" s="95" t="str">
        <f>IF(W51="","",VLOOKUP(W51,'11. Lists'!$F$47:$G$51,2,FALSE))</f>
        <v/>
      </c>
      <c r="Y51" s="49"/>
      <c r="Z51" s="49"/>
      <c r="AA51" s="49"/>
      <c r="AB51" s="94" t="str">
        <f t="shared" si="8"/>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2:53" s="26" customFormat="1" ht="15.75" x14ac:dyDescent="0.25">
      <c r="B52" s="298">
        <v>13</v>
      </c>
      <c r="C52" s="79"/>
      <c r="D52" s="74"/>
      <c r="E52" s="391" t="str">
        <f>IF(D52="","",VLOOKUP(D52,'10. Condition and Temporal'!$B$6:$D$103,3,FALSE))</f>
        <v/>
      </c>
      <c r="F52" s="640"/>
      <c r="G52" s="641"/>
      <c r="H52" s="72"/>
      <c r="I52" s="657"/>
      <c r="J52" s="658"/>
      <c r="K52" s="659"/>
      <c r="L52" s="649" t="str">
        <f t="shared" si="7"/>
        <v/>
      </c>
      <c r="M52" s="609"/>
      <c r="N52" s="650"/>
      <c r="O52" s="62"/>
      <c r="P52" s="12"/>
      <c r="R52" s="664"/>
      <c r="T52" s="593" t="str">
        <f>IF(C52="","",VLOOKUP(D52,'9. All Habitats + Multipliers'!$C$4:$K$102,5,FALSE))</f>
        <v/>
      </c>
      <c r="U52" s="594"/>
      <c r="V52" s="95" t="str">
        <f>IF(T52="","",VLOOKUP(T52,'11. Lists'!$B$47:$D$49,2,FALSE))</f>
        <v/>
      </c>
      <c r="W52" s="205" t="str">
        <f t="shared" si="9"/>
        <v/>
      </c>
      <c r="X52" s="95" t="str">
        <f>IF(W52="","",VLOOKUP(W52,'11. Lists'!$F$47:$G$51,2,FALSE))</f>
        <v/>
      </c>
      <c r="Y52" s="49"/>
      <c r="Z52" s="49"/>
      <c r="AA52" s="49"/>
      <c r="AB52" s="94" t="str">
        <f t="shared" si="8"/>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2:53" s="26" customFormat="1" ht="15.75" x14ac:dyDescent="0.25">
      <c r="B53" s="298">
        <v>14</v>
      </c>
      <c r="C53" s="79"/>
      <c r="D53" s="74"/>
      <c r="E53" s="391" t="str">
        <f>IF(D53="","",VLOOKUP(D53,'10. Condition and Temporal'!$B$6:$D$103,3,FALSE))</f>
        <v/>
      </c>
      <c r="F53" s="640"/>
      <c r="G53" s="641"/>
      <c r="H53" s="72"/>
      <c r="I53" s="657"/>
      <c r="J53" s="658"/>
      <c r="K53" s="659"/>
      <c r="L53" s="649" t="str">
        <f t="shared" si="7"/>
        <v/>
      </c>
      <c r="M53" s="609"/>
      <c r="N53" s="650"/>
      <c r="O53" s="62"/>
      <c r="P53" s="12"/>
      <c r="R53" s="664"/>
      <c r="T53" s="593" t="str">
        <f>IF(C53="","",VLOOKUP(D53,'9. All Habitats + Multipliers'!$C$4:$K$102,5,FALSE))</f>
        <v/>
      </c>
      <c r="U53" s="594"/>
      <c r="V53" s="95" t="str">
        <f>IF(T53="","",VLOOKUP(T53,'11. Lists'!$B$47:$D$49,2,FALSE))</f>
        <v/>
      </c>
      <c r="W53" s="205" t="str">
        <f t="shared" si="9"/>
        <v/>
      </c>
      <c r="X53" s="95" t="str">
        <f>IF(W53="","",VLOOKUP(W53,'11. Lists'!$F$47:$G$51,2,FALSE))</f>
        <v/>
      </c>
      <c r="Y53" s="49"/>
      <c r="Z53" s="49"/>
      <c r="AA53" s="49"/>
      <c r="AB53" s="94" t="str">
        <f t="shared" si="8"/>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2:53" s="26" customFormat="1" ht="15.75" x14ac:dyDescent="0.25">
      <c r="B54" s="298">
        <v>15</v>
      </c>
      <c r="C54" s="79"/>
      <c r="D54" s="74"/>
      <c r="E54" s="391" t="str">
        <f>IF(D54="","",VLOOKUP(D54,'10. Condition and Temporal'!$B$6:$D$103,3,FALSE))</f>
        <v/>
      </c>
      <c r="F54" s="640"/>
      <c r="G54" s="641"/>
      <c r="H54" s="72"/>
      <c r="I54" s="657"/>
      <c r="J54" s="658"/>
      <c r="K54" s="659"/>
      <c r="L54" s="649" t="str">
        <f t="shared" si="7"/>
        <v/>
      </c>
      <c r="M54" s="609"/>
      <c r="N54" s="650"/>
      <c r="O54" s="62"/>
      <c r="P54" s="12"/>
      <c r="R54" s="664"/>
      <c r="T54" s="593" t="str">
        <f>IF(C54="","",VLOOKUP(D54,'9. All Habitats + Multipliers'!$C$4:$K$102,5,FALSE))</f>
        <v/>
      </c>
      <c r="U54" s="594"/>
      <c r="V54" s="95" t="str">
        <f>IF(T54="","",VLOOKUP(T54,'11. Lists'!$B$47:$D$49,2,FALSE))</f>
        <v/>
      </c>
      <c r="W54" s="205" t="str">
        <f t="shared" si="9"/>
        <v/>
      </c>
      <c r="X54" s="95" t="str">
        <f>IF(W54="","",VLOOKUP(W54,'11. Lists'!$F$47:$G$51,2,FALSE))</f>
        <v/>
      </c>
      <c r="Y54" s="49"/>
      <c r="Z54" s="49"/>
      <c r="AA54" s="49"/>
      <c r="AB54" s="94" t="str">
        <f t="shared" si="8"/>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2:53" s="26" customFormat="1" ht="15.75" x14ac:dyDescent="0.25">
      <c r="B55" s="298">
        <v>16</v>
      </c>
      <c r="C55" s="79"/>
      <c r="D55" s="74"/>
      <c r="E55" s="391" t="str">
        <f>IF(D55="","",VLOOKUP(D55,'10. Condition and Temporal'!$B$6:$D$103,3,FALSE))</f>
        <v/>
      </c>
      <c r="F55" s="640"/>
      <c r="G55" s="641"/>
      <c r="H55" s="72"/>
      <c r="I55" s="657"/>
      <c r="J55" s="658"/>
      <c r="K55" s="659"/>
      <c r="L55" s="649" t="str">
        <f t="shared" si="7"/>
        <v/>
      </c>
      <c r="M55" s="609"/>
      <c r="N55" s="650"/>
      <c r="O55" s="62"/>
      <c r="P55" s="12"/>
      <c r="R55" s="664"/>
      <c r="T55" s="593" t="str">
        <f>IF(C55="","",VLOOKUP(D55,'9. All Habitats + Multipliers'!$C$4:$K$102,5,FALSE))</f>
        <v/>
      </c>
      <c r="U55" s="594"/>
      <c r="V55" s="95" t="str">
        <f>IF(T55="","",VLOOKUP(T55,'11. Lists'!$B$47:$D$49,2,FALSE))</f>
        <v/>
      </c>
      <c r="W55" s="205" t="str">
        <f t="shared" si="9"/>
        <v/>
      </c>
      <c r="X55" s="95" t="str">
        <f>IF(W55="","",VLOOKUP(W55,'11. Lists'!$F$47:$G$51,2,FALSE))</f>
        <v/>
      </c>
      <c r="Y55" s="49"/>
      <c r="Z55" s="49"/>
      <c r="AA55" s="49"/>
      <c r="AB55" s="94" t="str">
        <f t="shared" si="8"/>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2:53" s="26" customFormat="1" ht="15.75" x14ac:dyDescent="0.25">
      <c r="B56" s="298">
        <v>17</v>
      </c>
      <c r="C56" s="79"/>
      <c r="D56" s="74"/>
      <c r="E56" s="391" t="str">
        <f>IF(D56="","",VLOOKUP(D56,'10. Condition and Temporal'!$B$6:$D$103,3,FALSE))</f>
        <v/>
      </c>
      <c r="F56" s="640"/>
      <c r="G56" s="641"/>
      <c r="H56" s="72"/>
      <c r="I56" s="657"/>
      <c r="J56" s="658"/>
      <c r="K56" s="659"/>
      <c r="L56" s="649" t="str">
        <f t="shared" si="7"/>
        <v/>
      </c>
      <c r="M56" s="609"/>
      <c r="N56" s="650"/>
      <c r="O56" s="62"/>
      <c r="P56" s="12"/>
      <c r="R56" s="664"/>
      <c r="T56" s="593" t="str">
        <f>IF(C56="","",VLOOKUP(D56,'9. All Habitats + Multipliers'!$C$4:$K$102,5,FALSE))</f>
        <v/>
      </c>
      <c r="U56" s="594"/>
      <c r="V56" s="95" t="str">
        <f>IF(T56="","",VLOOKUP(T56,'11. Lists'!$B$47:$D$49,2,FALSE))</f>
        <v/>
      </c>
      <c r="W56" s="205" t="str">
        <f t="shared" si="9"/>
        <v/>
      </c>
      <c r="X56" s="95" t="str">
        <f>IF(W56="","",VLOOKUP(W56,'11. Lists'!$F$47:$G$51,2,FALSE))</f>
        <v/>
      </c>
      <c r="Y56" s="49"/>
      <c r="Z56" s="49"/>
      <c r="AA56" s="49"/>
      <c r="AB56" s="94" t="str">
        <f t="shared" si="8"/>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2:53" s="26" customFormat="1" ht="15.75" x14ac:dyDescent="0.25">
      <c r="B57" s="298">
        <v>18</v>
      </c>
      <c r="C57" s="79"/>
      <c r="D57" s="74"/>
      <c r="E57" s="391" t="str">
        <f>IF(D57="","",VLOOKUP(D57,'10. Condition and Temporal'!$B$6:$D$103,3,FALSE))</f>
        <v/>
      </c>
      <c r="F57" s="640"/>
      <c r="G57" s="641"/>
      <c r="H57" s="72"/>
      <c r="I57" s="657"/>
      <c r="J57" s="658"/>
      <c r="K57" s="659"/>
      <c r="L57" s="649" t="str">
        <f t="shared" si="7"/>
        <v/>
      </c>
      <c r="M57" s="609"/>
      <c r="N57" s="650"/>
      <c r="O57" s="62"/>
      <c r="P57" s="12"/>
      <c r="R57" s="664"/>
      <c r="T57" s="593" t="str">
        <f>IF(C57="","",VLOOKUP(D57,'9. All Habitats + Multipliers'!$C$4:$K$102,5,FALSE))</f>
        <v/>
      </c>
      <c r="U57" s="594"/>
      <c r="V57" s="95" t="str">
        <f>IF(T57="","",VLOOKUP(T57,'11. Lists'!$B$47:$D$49,2,FALSE))</f>
        <v/>
      </c>
      <c r="W57" s="205" t="str">
        <f t="shared" si="9"/>
        <v/>
      </c>
      <c r="X57" s="95" t="str">
        <f>IF(W57="","",VLOOKUP(W57,'11. Lists'!$F$47:$G$51,2,FALSE))</f>
        <v/>
      </c>
      <c r="Y57" s="49"/>
      <c r="Z57" s="49"/>
      <c r="AA57" s="49"/>
      <c r="AB57" s="94" t="str">
        <f t="shared" si="8"/>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2:53" s="26" customFormat="1" ht="15.75" x14ac:dyDescent="0.25">
      <c r="B58" s="298">
        <v>19</v>
      </c>
      <c r="C58" s="79"/>
      <c r="D58" s="74"/>
      <c r="E58" s="391" t="str">
        <f>IF(D58="","",VLOOKUP(D58,'10. Condition and Temporal'!$B$6:$D$103,3,FALSE))</f>
        <v/>
      </c>
      <c r="F58" s="640"/>
      <c r="G58" s="641"/>
      <c r="H58" s="72"/>
      <c r="I58" s="657"/>
      <c r="J58" s="658"/>
      <c r="K58" s="659"/>
      <c r="L58" s="649" t="str">
        <f t="shared" si="7"/>
        <v/>
      </c>
      <c r="M58" s="609"/>
      <c r="N58" s="650"/>
      <c r="O58" s="62"/>
      <c r="P58" s="12"/>
      <c r="R58" s="664"/>
      <c r="T58" s="593" t="str">
        <f>IF(C58="","",VLOOKUP(D58,'9. All Habitats + Multipliers'!$C$4:$K$102,5,FALSE))</f>
        <v/>
      </c>
      <c r="U58" s="594"/>
      <c r="V58" s="95" t="str">
        <f>IF(T58="","",VLOOKUP(T58,'11. Lists'!$B$47:$D$49,2,FALSE))</f>
        <v/>
      </c>
      <c r="W58" s="205" t="str">
        <f t="shared" si="9"/>
        <v/>
      </c>
      <c r="X58" s="95" t="str">
        <f>IF(W58="","",VLOOKUP(W58,'11. Lists'!$F$47:$G$51,2,FALSE))</f>
        <v/>
      </c>
      <c r="Y58" s="49"/>
      <c r="Z58" s="49"/>
      <c r="AA58" s="49"/>
      <c r="AB58" s="94" t="str">
        <f t="shared" si="8"/>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2:53" s="26" customFormat="1" ht="16.5" thickBot="1" x14ac:dyDescent="0.3">
      <c r="B59" s="300">
        <v>20</v>
      </c>
      <c r="C59" s="79"/>
      <c r="D59" s="74"/>
      <c r="E59" s="391" t="str">
        <f>IF(D59="","",VLOOKUP(D59,'10. Condition and Temporal'!$B$6:$D$103,3,FALSE))</f>
        <v/>
      </c>
      <c r="F59" s="640"/>
      <c r="G59" s="641"/>
      <c r="H59" s="80"/>
      <c r="I59" s="657"/>
      <c r="J59" s="658"/>
      <c r="K59" s="659"/>
      <c r="L59" s="649" t="str">
        <f t="shared" si="7"/>
        <v/>
      </c>
      <c r="M59" s="609"/>
      <c r="N59" s="650"/>
      <c r="O59" s="23"/>
      <c r="P59" s="6"/>
      <c r="R59" s="664"/>
      <c r="T59" s="593" t="str">
        <f>IF(C59="","",VLOOKUP(D59,'9. All Habitats + Multipliers'!$C$4:$K$102,5,FALSE))</f>
        <v/>
      </c>
      <c r="U59" s="594"/>
      <c r="V59" s="95" t="str">
        <f>IF(T59="","",VLOOKUP(T59,'11. Lists'!$B$47:$D$49,2,FALSE))</f>
        <v/>
      </c>
      <c r="W59" s="205" t="str">
        <f t="shared" si="9"/>
        <v/>
      </c>
      <c r="X59" s="95" t="str">
        <f>IF(W59="","",VLOOKUP(W59,'11. Lists'!$F$47:$G$51,2,FALSE))</f>
        <v/>
      </c>
      <c r="Y59" s="49"/>
      <c r="Z59" s="49"/>
      <c r="AA59" s="49"/>
      <c r="AB59" s="94" t="str">
        <f t="shared" si="8"/>
        <v/>
      </c>
      <c r="AC59" s="96" t="str">
        <f>IF(AB59="","",VLOOKUP(AB59,'11. Lists'!$F$36:$H$38,2,FALSE))</f>
        <v/>
      </c>
      <c r="AD59" s="95" t="str">
        <f>IF(AB59="","",VLOOKUP(AB59,'11. Lists'!$F$36:$H$38,3,FALSE))</f>
        <v/>
      </c>
      <c r="AE59" s="94" t="str">
        <f>IF(F59="","",IF(F59="Moderate",VLOOKUP(D59,'10. Condition and Temporal'!$B$6:$L$103,6,FALSE),IF(F59="Good",VLOOKUP(D59,'10. Condition and Temporal'!$B$6:$L$103,7,FALSE),IF(F59="Poor",VLOOKUP(D59,'10. Condition and Temporal'!$B$6:$L$103,8,FALSE),IF(F59="Condition Assessment N/A",VLOOKUP(D59,'10. Condition and Temporal'!$B$6:$L$103,9,FALSE),IF(F59="N/A - Other",VLOOKUP(D59,'10. Condition and Temporal'!$B$6:$L$103,10,FALSE)))))))</f>
        <v/>
      </c>
      <c r="AF59" s="109" t="str">
        <f>IF(AE59="","",VLOOKUP(AE59,'11. Lists'!$I$47:$K$80,3,FALSE))</f>
        <v/>
      </c>
      <c r="AG59" s="94" t="str">
        <f>IF(D59="","",VLOOKUP(D59,'9. All Habitats + Multipliers'!$C$4:$K$102,7,FALSE))</f>
        <v/>
      </c>
      <c r="AH59" s="95" t="str">
        <f>IF(AG59="","",VLOOKUP(AG59,'11. Lists'!$J$35:$K$38,2,FALSE))</f>
        <v/>
      </c>
    </row>
    <row r="60" spans="2:53" s="26" customFormat="1" ht="30.75" thickBot="1" x14ac:dyDescent="0.3">
      <c r="B60" s="301" t="s">
        <v>78</v>
      </c>
      <c r="C60" s="99" t="s">
        <v>949</v>
      </c>
      <c r="D60" s="110" t="s">
        <v>950</v>
      </c>
      <c r="E60" s="111" t="s">
        <v>98</v>
      </c>
      <c r="F60" s="647" t="s">
        <v>98</v>
      </c>
      <c r="G60" s="648"/>
      <c r="H60" s="112" t="s">
        <v>919</v>
      </c>
      <c r="I60" s="688">
        <f>P99</f>
        <v>2034.7200000000003</v>
      </c>
      <c r="J60" s="689"/>
      <c r="K60" s="690"/>
      <c r="L60" s="651">
        <f>IF(D60="","",((I60/10000)*(V60*X60))*(AH60*AF60)*AD60)</f>
        <v>0.62205974965992961</v>
      </c>
      <c r="M60" s="652"/>
      <c r="N60" s="621"/>
      <c r="O60" s="39"/>
      <c r="P60" s="40"/>
      <c r="R60" s="664"/>
      <c r="T60" s="595" t="str">
        <f>IF(C60="","",VLOOKUP(D60,'9. All Habitats + Multipliers'!$C$4:$K$102,5,FALSE))</f>
        <v>Medium</v>
      </c>
      <c r="U60" s="596"/>
      <c r="V60" s="101">
        <f>IF(T60="","",VLOOKUP(T60,'11. Lists'!$B$47:$D$49,2,FALSE))</f>
        <v>4</v>
      </c>
      <c r="W60" s="394" t="str">
        <f>IF(F60="","",F60)</f>
        <v>Moderate</v>
      </c>
      <c r="X60" s="101">
        <f>IF(W60="","",VLOOKUP(W60,'11. Lists'!$F$47:$G$51,2,FALSE))</f>
        <v>2</v>
      </c>
      <c r="Y60" s="49"/>
      <c r="Z60" s="49"/>
      <c r="AA60" s="49"/>
      <c r="AB60" s="100" t="str">
        <f t="shared" si="8"/>
        <v>Area/compensation not in local strategy/ no local strategy</v>
      </c>
      <c r="AC60" s="102" t="str">
        <f>IF(AB60="","",VLOOKUP(AB60,'11. Lists'!$F$36:$H$38,2,FALSE))</f>
        <v>Low Strategic Significance</v>
      </c>
      <c r="AD60" s="101">
        <f>IF(AB60="","",VLOOKUP(AB60,'11. Lists'!$F$36:$H$38,3,FALSE))</f>
        <v>1</v>
      </c>
      <c r="AE60" s="100">
        <f>IF(F60="","",IF(F60="Moderate",VLOOKUP(D60,'10. Condition and Temporal'!$B$6:$L$103,6,FALSE),IF('5. Area Habitats'!F60="Good",VLOOKUP(D60,'10. Condition and Temporal'!$B$6:$L$103,7,FALSE),VLOOKUP(D60,'10. Condition and Temporal'!$B$6:$L$103,8,FALSE))))</f>
        <v>27</v>
      </c>
      <c r="AF60" s="113">
        <f>IF(AE60="","",VLOOKUP(AE60,'11. Lists'!$I$47:$K$80,3,FALSE))</f>
        <v>0.38215316459999998</v>
      </c>
      <c r="AG60" s="100" t="str">
        <f>IF(D60="","",VLOOKUP(D60,'9. All Habitats + Multipliers'!$C$4:$K$102,7,FALSE))</f>
        <v>Low</v>
      </c>
      <c r="AH60" s="101">
        <f>IF(AG60="","",VLOOKUP(AG60,'11. Lists'!$J$35:$K$38,2,FALSE))</f>
        <v>1</v>
      </c>
    </row>
    <row r="61" spans="2:53" s="26" customFormat="1" ht="15.75" thickBot="1" x14ac:dyDescent="0.3">
      <c r="H61" s="195" t="s">
        <v>81</v>
      </c>
      <c r="I61" s="754">
        <f>SUM(I40:K59)</f>
        <v>1379.6</v>
      </c>
      <c r="J61" s="755"/>
      <c r="K61" s="756"/>
      <c r="L61" s="625">
        <f>SUM(L40:N60)</f>
        <v>0.78171983407815926</v>
      </c>
      <c r="M61" s="757"/>
      <c r="N61" s="622"/>
      <c r="R61" s="664"/>
    </row>
    <row r="62" spans="2:53" s="26" customFormat="1" ht="15.75" thickBot="1" x14ac:dyDescent="0.3">
      <c r="H62" s="302" t="s">
        <v>99</v>
      </c>
      <c r="I62" s="653" t="str">
        <f>IF(I61&lt;&gt;M32,"Error - Area of habitat creation must match area lost ▲","Areas Acceptable 🗸")</f>
        <v>Error - Area of habitat creation must match area lost ▲</v>
      </c>
      <c r="J62" s="654"/>
      <c r="K62" s="654"/>
      <c r="L62" s="654"/>
      <c r="M62" s="654"/>
      <c r="N62" s="655"/>
      <c r="O62" s="166">
        <f>IFERROR(FIND("Error",I62),0)</f>
        <v>1</v>
      </c>
      <c r="R62" s="664"/>
    </row>
    <row r="63" spans="2:53" s="26" customFormat="1" x14ac:dyDescent="0.25">
      <c r="R63" s="664"/>
      <c r="BA63" s="51" t="s">
        <v>100</v>
      </c>
    </row>
    <row r="64" spans="2:53" s="26" customFormat="1" ht="21" x14ac:dyDescent="0.35">
      <c r="B64" s="58" t="s">
        <v>101</v>
      </c>
      <c r="D64" s="89"/>
      <c r="H64" s="27"/>
      <c r="R64" s="664"/>
      <c r="BA64" s="51" t="s">
        <v>102</v>
      </c>
    </row>
    <row r="65" spans="1:76" s="26" customFormat="1" ht="15.75" thickBot="1" x14ac:dyDescent="0.3">
      <c r="A65" s="90"/>
      <c r="R65" s="664"/>
    </row>
    <row r="66" spans="1:76" s="26" customFormat="1" ht="16.149999999999999" customHeight="1" thickBot="1" x14ac:dyDescent="0.3">
      <c r="A66" s="90"/>
      <c r="B66" s="607" t="s">
        <v>103</v>
      </c>
      <c r="C66" s="603" t="s">
        <v>966</v>
      </c>
      <c r="D66" s="605"/>
      <c r="E66" s="674" t="s">
        <v>104</v>
      </c>
      <c r="F66" s="679"/>
      <c r="G66" s="687"/>
      <c r="H66" s="748" t="s">
        <v>105</v>
      </c>
      <c r="I66" s="748" t="s">
        <v>106</v>
      </c>
      <c r="J66" s="750" t="s">
        <v>107</v>
      </c>
      <c r="K66" s="751"/>
      <c r="L66" s="603" t="s">
        <v>957</v>
      </c>
      <c r="M66" s="604" t="s">
        <v>108</v>
      </c>
      <c r="N66" s="605"/>
      <c r="O66" s="746" t="s">
        <v>54</v>
      </c>
      <c r="P66" s="747"/>
      <c r="R66" s="664"/>
      <c r="T66" s="590" t="s">
        <v>109</v>
      </c>
      <c r="U66" s="591"/>
      <c r="V66" s="591"/>
      <c r="W66" s="591"/>
      <c r="X66" s="591"/>
      <c r="Y66" s="591"/>
      <c r="Z66" s="591"/>
      <c r="AA66" s="591"/>
      <c r="AB66" s="591"/>
      <c r="AC66" s="591"/>
      <c r="AD66" s="592"/>
      <c r="AE66" s="597" t="s">
        <v>110</v>
      </c>
      <c r="AF66" s="590" t="s">
        <v>111</v>
      </c>
      <c r="AG66" s="591"/>
      <c r="AH66" s="591"/>
      <c r="AI66" s="591"/>
      <c r="AJ66" s="591"/>
      <c r="AK66" s="591"/>
      <c r="AL66" s="591"/>
      <c r="AM66" s="591"/>
      <c r="AN66" s="591"/>
      <c r="AO66" s="591"/>
      <c r="AP66" s="592"/>
      <c r="AQ66" s="599" t="s">
        <v>123</v>
      </c>
      <c r="AR66" s="590" t="s">
        <v>111</v>
      </c>
      <c r="AS66" s="591"/>
      <c r="AT66" s="591"/>
      <c r="AU66" s="591"/>
      <c r="AV66" s="591"/>
      <c r="AW66" s="591"/>
      <c r="AX66" s="592"/>
      <c r="BA66" s="160" t="s">
        <v>112</v>
      </c>
      <c r="BB66" s="206">
        <f>COUNTIF(BB68:BB87,"?*")</f>
        <v>0</v>
      </c>
      <c r="BC66" s="206">
        <f t="shared" ref="BC66:BU66" si="10">COUNTIF(BC68:BC87,"?*")</f>
        <v>0</v>
      </c>
      <c r="BD66" s="206">
        <f t="shared" si="10"/>
        <v>0</v>
      </c>
      <c r="BE66" s="206">
        <f t="shared" si="10"/>
        <v>0</v>
      </c>
      <c r="BF66" s="206">
        <f t="shared" si="10"/>
        <v>0</v>
      </c>
      <c r="BG66" s="206">
        <f t="shared" si="10"/>
        <v>0</v>
      </c>
      <c r="BH66" s="206">
        <f t="shared" si="10"/>
        <v>0</v>
      </c>
      <c r="BI66" s="206">
        <f t="shared" si="10"/>
        <v>0</v>
      </c>
      <c r="BJ66" s="206">
        <f t="shared" si="10"/>
        <v>0</v>
      </c>
      <c r="BK66" s="206">
        <f t="shared" si="10"/>
        <v>0</v>
      </c>
      <c r="BL66" s="206">
        <f t="shared" si="10"/>
        <v>0</v>
      </c>
      <c r="BM66" s="206">
        <f t="shared" si="10"/>
        <v>0</v>
      </c>
      <c r="BN66" s="206">
        <f t="shared" si="10"/>
        <v>0</v>
      </c>
      <c r="BO66" s="206">
        <f t="shared" si="10"/>
        <v>0</v>
      </c>
      <c r="BP66" s="206">
        <f t="shared" si="10"/>
        <v>0</v>
      </c>
      <c r="BQ66" s="206">
        <f t="shared" si="10"/>
        <v>0</v>
      </c>
      <c r="BR66" s="206">
        <f t="shared" si="10"/>
        <v>0</v>
      </c>
      <c r="BS66" s="206">
        <f t="shared" si="10"/>
        <v>0</v>
      </c>
      <c r="BT66" s="206">
        <f t="shared" si="10"/>
        <v>0</v>
      </c>
      <c r="BU66" s="206">
        <f t="shared" si="10"/>
        <v>0</v>
      </c>
    </row>
    <row r="67" spans="1:76" s="26" customFormat="1" ht="48.6" customHeight="1" thickBot="1" x14ac:dyDescent="0.3">
      <c r="A67" s="90"/>
      <c r="B67" s="608"/>
      <c r="C67" s="232" t="s">
        <v>113</v>
      </c>
      <c r="D67" s="91" t="s">
        <v>114</v>
      </c>
      <c r="E67" s="87" t="s">
        <v>115</v>
      </c>
      <c r="F67" s="619" t="s">
        <v>116</v>
      </c>
      <c r="G67" s="644"/>
      <c r="H67" s="749"/>
      <c r="I67" s="749"/>
      <c r="J67" s="752"/>
      <c r="K67" s="753"/>
      <c r="L67" s="780"/>
      <c r="M67" s="781"/>
      <c r="N67" s="782"/>
      <c r="O67" s="217" t="s">
        <v>69</v>
      </c>
      <c r="P67" s="91" t="s">
        <v>70</v>
      </c>
      <c r="R67" s="664"/>
      <c r="T67" s="380" t="s">
        <v>916</v>
      </c>
      <c r="U67" s="401" t="s">
        <v>117</v>
      </c>
      <c r="V67" s="400" t="s">
        <v>118</v>
      </c>
      <c r="W67" s="401" t="s">
        <v>119</v>
      </c>
      <c r="X67" s="404" t="s">
        <v>120</v>
      </c>
      <c r="Y67" s="405"/>
      <c r="Z67" s="405"/>
      <c r="AA67" s="405"/>
      <c r="AB67" s="404" t="s">
        <v>121</v>
      </c>
      <c r="AC67" s="403" t="s">
        <v>122</v>
      </c>
      <c r="AD67" s="400" t="s">
        <v>917</v>
      </c>
      <c r="AE67" s="598"/>
      <c r="AF67" s="381" t="s">
        <v>916</v>
      </c>
      <c r="AG67" s="401" t="s">
        <v>71</v>
      </c>
      <c r="AH67" s="400" t="s">
        <v>72</v>
      </c>
      <c r="AI67" s="401" t="s">
        <v>73</v>
      </c>
      <c r="AJ67" s="409" t="s">
        <v>72</v>
      </c>
      <c r="AK67" s="395"/>
      <c r="AL67" s="395"/>
      <c r="AM67" s="395"/>
      <c r="AN67" s="410" t="s">
        <v>57</v>
      </c>
      <c r="AO67" s="403" t="s">
        <v>57</v>
      </c>
      <c r="AP67" s="400" t="s">
        <v>74</v>
      </c>
      <c r="AQ67" s="600"/>
      <c r="AR67" s="400" t="s">
        <v>124</v>
      </c>
      <c r="AS67" s="401" t="s">
        <v>125</v>
      </c>
      <c r="AT67" s="400" t="s">
        <v>126</v>
      </c>
      <c r="AU67" s="402" t="s">
        <v>127</v>
      </c>
      <c r="AV67" s="400" t="s">
        <v>128</v>
      </c>
      <c r="AW67" s="379" t="s">
        <v>129</v>
      </c>
      <c r="AX67" s="382" t="s">
        <v>130</v>
      </c>
      <c r="BA67" s="84" t="s">
        <v>918</v>
      </c>
      <c r="BB67" s="181">
        <v>1</v>
      </c>
      <c r="BC67" s="181">
        <v>2</v>
      </c>
      <c r="BD67" s="181">
        <v>3</v>
      </c>
      <c r="BE67" s="181">
        <v>4</v>
      </c>
      <c r="BF67" s="181">
        <v>5</v>
      </c>
      <c r="BG67" s="181">
        <v>6</v>
      </c>
      <c r="BH67" s="181">
        <v>7</v>
      </c>
      <c r="BI67" s="181">
        <v>8</v>
      </c>
      <c r="BJ67" s="181">
        <v>9</v>
      </c>
      <c r="BK67" s="181">
        <v>10</v>
      </c>
      <c r="BL67" s="181">
        <v>11</v>
      </c>
      <c r="BM67" s="181">
        <v>12</v>
      </c>
      <c r="BN67" s="181">
        <v>13</v>
      </c>
      <c r="BO67" s="181">
        <v>14</v>
      </c>
      <c r="BP67" s="181">
        <v>15</v>
      </c>
      <c r="BQ67" s="181">
        <v>16</v>
      </c>
      <c r="BR67" s="181">
        <v>17</v>
      </c>
      <c r="BS67" s="181">
        <v>18</v>
      </c>
      <c r="BT67" s="181">
        <v>19</v>
      </c>
      <c r="BU67" s="181">
        <v>20</v>
      </c>
      <c r="BV67" s="204" t="s">
        <v>132</v>
      </c>
      <c r="BW67" s="181" t="s">
        <v>133</v>
      </c>
      <c r="BX67" s="181" t="s">
        <v>134</v>
      </c>
    </row>
    <row r="68" spans="1:76" s="26" customFormat="1" ht="15.75" x14ac:dyDescent="0.25">
      <c r="A68" s="90"/>
      <c r="B68" s="297">
        <v>1</v>
      </c>
      <c r="C68" s="228" t="str">
        <f t="shared" ref="C68:C87" si="11">IF(D68="","",C11)</f>
        <v/>
      </c>
      <c r="D68" s="229" t="str">
        <f>IF(OR(K11=0, K11=""),"",D11)</f>
        <v/>
      </c>
      <c r="E68" s="230" t="str">
        <f t="shared" ref="E68:E88" si="12">IF(AX68="","",AX68)</f>
        <v/>
      </c>
      <c r="F68" s="642"/>
      <c r="G68" s="643"/>
      <c r="H68" s="172" t="str">
        <f t="shared" ref="H68:H87" si="13">IF(D68="","",AB68)</f>
        <v/>
      </c>
      <c r="I68" s="367" t="str">
        <f>IF(OR(K11="", K11=0),"",K11)</f>
        <v/>
      </c>
      <c r="J68" s="617" t="str">
        <f>IFERROR(IF(F68="","",VLOOKUP(F68,'10. Condition and Temporal'!$B$6:$F$103,5,FALSE)), "Error ▲")</f>
        <v/>
      </c>
      <c r="K68" s="618"/>
      <c r="L68" s="317" t="str">
        <f>IFERROR(IF(D68="","",IF(AX68="Distinctiveness",(((((I68*AH68*AJ68)-(I68*V68*X68))*(AV68*AT68))+(I68*V68*X68))*(AP68))/10000,((((I68*AJ68*AH68)-(I68*V68*X68))*(AV68*AR68))+(I68*V68*X68))*AP68/10000)),"Error ▲")</f>
        <v/>
      </c>
      <c r="M68" s="609" t="str">
        <f>IFERROR(IF(F68="","",L68-AD68), "Error ▲")</f>
        <v/>
      </c>
      <c r="N68" s="610"/>
      <c r="O68" s="231"/>
      <c r="P68" s="1"/>
      <c r="R68" s="664"/>
      <c r="T68" s="196" t="str">
        <f t="shared" ref="T68:T88" si="14">IF(D68="","",K11)</f>
        <v/>
      </c>
      <c r="U68" s="117" t="str">
        <f>IF($D68="","",T11)</f>
        <v/>
      </c>
      <c r="V68" s="118" t="str">
        <f t="shared" ref="V68:X88" si="15">IF($D68="","",V11)</f>
        <v/>
      </c>
      <c r="W68" s="117" t="str">
        <f t="shared" si="15"/>
        <v/>
      </c>
      <c r="X68" s="96" t="str">
        <f t="shared" si="15"/>
        <v/>
      </c>
      <c r="Y68" s="392"/>
      <c r="Z68" s="392"/>
      <c r="AA68" s="392"/>
      <c r="AB68" s="96" t="str">
        <f t="shared" ref="AB68:AB88" si="16">IF($D68="","",AB11)</f>
        <v/>
      </c>
      <c r="AC68" s="119" t="str">
        <f t="shared" ref="AC68:AC88" si="17">IF($D68="","",AD11)</f>
        <v/>
      </c>
      <c r="AD68" s="118" t="str">
        <f>IF(AC68="","",(T68*V68*X68)*AC68/10000)</f>
        <v/>
      </c>
      <c r="AE68" s="198" t="str">
        <f>IF(AD68="","",IF(AH68&lt;V68,"Not Acceptable","Acceptable"))</f>
        <v/>
      </c>
      <c r="AF68" s="116" t="str">
        <f t="shared" ref="AF68:AF88" si="18">IF(D68="","",I68)</f>
        <v/>
      </c>
      <c r="AG68" s="117" t="str">
        <f>IF(D68="","",VLOOKUP(F68,'9. All Habitats + Multipliers'!$C$4:$K$102,5,FALSE))</f>
        <v/>
      </c>
      <c r="AH68" s="118" t="str">
        <f>IF(AG68="","",VLOOKUP(AG68,'11. Lists'!$B$47:$D$49,2,FALSE))</f>
        <v/>
      </c>
      <c r="AI68" s="116" t="str">
        <f t="shared" ref="AI68:AI88" si="19">IF(D68="","",J68)</f>
        <v/>
      </c>
      <c r="AJ68" s="411" t="str">
        <f>IF(AI68="","",VLOOKUP(AI68,'11. Lists'!$F$47:$G$51,2,FALSE))</f>
        <v/>
      </c>
      <c r="AK68" s="412"/>
      <c r="AL68" s="412"/>
      <c r="AM68" s="412"/>
      <c r="AN68" s="413" t="str">
        <f t="shared" ref="AN68:AN88" si="20">IF(H68="","",H68)</f>
        <v/>
      </c>
      <c r="AO68" s="120"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ref="AX68:AX87" si="21">IF(F68="","",IF(D68=F68,"Condition","Distinctiveness"))</f>
        <v/>
      </c>
      <c r="BA68" s="94">
        <v>1</v>
      </c>
      <c r="BB68" s="96" t="str">
        <f t="shared" ref="BB68:BB87" si="22">TRIM(MID(SUBSTITUTE($AW$68,$BA$64,REPT(" ",LEN($AW$68))),($BA68-1)*LEN($AW$68)+1,LEN($AW$68)))</f>
        <v/>
      </c>
      <c r="BC68" s="96" t="str">
        <f t="shared" ref="BC68:BC87" si="23">TRIM(MID(SUBSTITUTE($AW$69,$BA$64,REPT(" ",LEN($AW$69))),($BA68-1)*LEN($AW$69)+1,LEN($AW$69)))</f>
        <v/>
      </c>
      <c r="BD68" s="96" t="str">
        <f t="shared" ref="BD68:BD87" si="24">TRIM(MID(SUBSTITUTE($AW$70,$BA$64,REPT(" ",LEN($AW$70))),($BA68-1)*LEN($AW$70)+1,LEN($AW$70)))</f>
        <v/>
      </c>
      <c r="BE68" s="96" t="str">
        <f t="shared" ref="BE68:BE87" si="25">TRIM(MID(SUBSTITUTE($AW$71,$BA$64,REPT(" ",LEN($AW$71))),($BA68-1)*LEN($AW$71)+1,LEN($AW$71)))</f>
        <v/>
      </c>
      <c r="BF68" s="96" t="str">
        <f t="shared" ref="BF68:BF87" si="26">TRIM(MID(SUBSTITUTE($AW$72,$BA$64,REPT(" ",LEN($AW$72))),($BA68-1)*LEN($AW$72)+1,LEN($AW$72)))</f>
        <v/>
      </c>
      <c r="BG68" s="96" t="str">
        <f t="shared" ref="BG68:BG87" si="27">TRIM(MID(SUBSTITUTE($AW$73,$BA$64,REPT(" ",LEN($AW$73))),($BA68-1)*LEN($AW$73)+1,LEN($AW$73)))</f>
        <v/>
      </c>
      <c r="BH68" s="96" t="str">
        <f t="shared" ref="BH68:BH87" si="28">TRIM(MID(SUBSTITUTE($AW$74,$BA$64,REPT(" ",LEN($AW$74))),($BA68-1)*LEN($AW$74)+1,LEN($AW$74)))</f>
        <v/>
      </c>
      <c r="BI68" s="96" t="str">
        <f t="shared" ref="BI68:BI87" si="29">TRIM(MID(SUBSTITUTE($AW$75,$BA$64,REPT(" ",LEN($AW$75))),($BA68-1)*LEN($AW$75)+1,LEN($AW$75)))</f>
        <v/>
      </c>
      <c r="BJ68" s="96" t="str">
        <f t="shared" ref="BJ68:BJ87" si="30">TRIM(MID(SUBSTITUTE($AW$76,$BA$64,REPT(" ",LEN($AW$76))),($BA68-1)*LEN($AW$76)+1,LEN($AW$76)))</f>
        <v/>
      </c>
      <c r="BK68" s="96" t="str">
        <f t="shared" ref="BK68:BK87" si="31">TRIM(MID(SUBSTITUTE($AW$77,$BA$64,REPT(" ",LEN($AW$77))),($BA68-1)*LEN($AW$77)+1,LEN($AW$77)))</f>
        <v/>
      </c>
      <c r="BL68" s="96" t="str">
        <f t="shared" ref="BL68:BL87" si="32">TRIM(MID(SUBSTITUTE($AW$78,$BA$64,REPT(" ",LEN($AW$78))),($BA68-1)*LEN($AW$78)+1,LEN($AW$78)))</f>
        <v/>
      </c>
      <c r="BM68" s="96" t="str">
        <f t="shared" ref="BM68:BM87" si="33">TRIM(MID(SUBSTITUTE($AW$79,$BA$64,REPT(" ",LEN($AW$79))),($BA68-1)*LEN($AW$79)+1,LEN($AW$79)))</f>
        <v/>
      </c>
      <c r="BN68" s="96" t="str">
        <f t="shared" ref="BN68:BN87" si="34">TRIM(MID(SUBSTITUTE($AW$80,$BA$64,REPT(" ",LEN($AW$80))),($BA68-1)*LEN($AW$80)+1,LEN($AW$80)))</f>
        <v/>
      </c>
      <c r="BO68" s="96" t="str">
        <f t="shared" ref="BO68:BO87" si="35">TRIM(MID(SUBSTITUTE($AW$81,$BA$64,REPT(" ",LEN($AW$81))),($BA68-1)*LEN($AW$81)+1,LEN($AW$81)))</f>
        <v/>
      </c>
      <c r="BP68" s="96" t="str">
        <f t="shared" ref="BP68:BP87" si="36">TRIM(MID(SUBSTITUTE($AW$82,$BA$64,REPT(" ",LEN($AW$82))),($BA68-1)*LEN($AW$82)+1,LEN($AW$82)))</f>
        <v/>
      </c>
      <c r="BQ68" s="96" t="str">
        <f t="shared" ref="BQ68:BQ87" si="37">TRIM(MID(SUBSTITUTE($AW$83,$BA$64,REPT(" ",LEN($AW$83))),($BA68-1)*LEN($AW$83)+1,LEN($AW$83)))</f>
        <v/>
      </c>
      <c r="BR68" s="96" t="str">
        <f t="shared" ref="BR68:BR87" si="38">TRIM(MID(SUBSTITUTE($AW$84,$BA$64,REPT(" ",LEN($AW$84))),($BA68-1)*LEN($AW$84)+1,LEN($AW$84)))</f>
        <v/>
      </c>
      <c r="BS68" s="96" t="str">
        <f t="shared" ref="BS68:BS87" si="39">TRIM(MID(SUBSTITUTE($AW$85,$BA$64,REPT(" ",LEN($AW$85))),($BA68-1)*LEN($AW$85)+1,LEN($AW$85)))</f>
        <v/>
      </c>
      <c r="BT68" s="96" t="str">
        <f t="shared" ref="BT68:BT87" si="40">TRIM(MID(SUBSTITUTE($AW$86,$BA$64,REPT(" ",LEN($AW$86))),($BA68-1)*LEN($AW$86)+1,LEN($AW$86)))</f>
        <v/>
      </c>
      <c r="BU68" s="95" t="str">
        <f t="shared" ref="BU68:BU87" si="41">TRIM(MID(SUBSTITUTE($AW$87,$BA$64,REPT(" ",LEN($AW$87))),($BA68-1)*LEN($AW$87)+1,LEN($AW$87)))</f>
        <v/>
      </c>
      <c r="BV68" s="205" t="str">
        <f>IF(BX68=0,"",CONCATENATE(BW68,"68:",BW68,BX68+67))</f>
        <v/>
      </c>
      <c r="BW68" s="96" t="s">
        <v>135</v>
      </c>
      <c r="BX68" s="96">
        <f>BB66</f>
        <v>0</v>
      </c>
    </row>
    <row r="69" spans="1:76" s="26" customFormat="1" ht="15.75" x14ac:dyDescent="0.25">
      <c r="A69" s="90"/>
      <c r="B69" s="298">
        <v>2</v>
      </c>
      <c r="C69" s="122" t="str">
        <f t="shared" si="11"/>
        <v/>
      </c>
      <c r="D69" s="229" t="str">
        <f t="shared" ref="D69:D87" si="42">IF(OR(K12=0, K12=""),"",D12)</f>
        <v/>
      </c>
      <c r="E69" s="176" t="str">
        <f t="shared" si="12"/>
        <v/>
      </c>
      <c r="F69" s="632"/>
      <c r="G69" s="633"/>
      <c r="H69" s="172" t="str">
        <f t="shared" si="13"/>
        <v/>
      </c>
      <c r="I69" s="367" t="str">
        <f t="shared" ref="I69:I87" si="43">IF(OR(K12="", K12=0),"",K12)</f>
        <v/>
      </c>
      <c r="J69" s="617" t="str">
        <f>IFERROR(IF(F69="","",VLOOKUP(F69,'10. Condition and Temporal'!$B$6:$F$103,5,FALSE)), "Error ▲")</f>
        <v/>
      </c>
      <c r="K69" s="618"/>
      <c r="L69" s="317" t="str">
        <f t="shared" ref="L69:L87" si="44">IFERROR(IF(D69="","",IF(AX69="Distinctiveness",(((((I69*AH69*AJ69)-(I69*V69*X69))*(AV69*AT69))+(I69*V69*X69))*(AP69))/10000,((((I69*AJ69*AH69)-(I69*V69*X69))*(AV69*AR69))+(I69*V69*X69))*AP69/10000)),"Error ▲")</f>
        <v/>
      </c>
      <c r="M69" s="609" t="str">
        <f t="shared" ref="M69:M87" si="45">IFERROR(IF(F69="","",L69-AD69), "Error ▲")</f>
        <v/>
      </c>
      <c r="N69" s="610"/>
      <c r="O69" s="75"/>
      <c r="P69" s="12"/>
      <c r="R69" s="664"/>
      <c r="T69" s="196" t="str">
        <f t="shared" si="14"/>
        <v/>
      </c>
      <c r="U69" s="117" t="str">
        <f t="shared" ref="U69:U87" si="46">IF($D69="","",T12)</f>
        <v/>
      </c>
      <c r="V69" s="95" t="str">
        <f t="shared" si="15"/>
        <v/>
      </c>
      <c r="W69" s="94" t="str">
        <f t="shared" si="15"/>
        <v/>
      </c>
      <c r="X69" s="96" t="str">
        <f t="shared" si="15"/>
        <v/>
      </c>
      <c r="Y69" s="392"/>
      <c r="Z69" s="392"/>
      <c r="AA69" s="392"/>
      <c r="AB69" s="96" t="str">
        <f t="shared" si="16"/>
        <v/>
      </c>
      <c r="AC69" s="119" t="str">
        <f t="shared" si="17"/>
        <v/>
      </c>
      <c r="AD69" s="118" t="str">
        <f>IF(AC69="","",(T69*V69*X69)*AC69/10000)</f>
        <v/>
      </c>
      <c r="AE69" s="198" t="str">
        <f t="shared" ref="AE69:AE87" si="47">IF(AD69="","",IF(AH69&lt;V69,"Not Acceptable","Acceptable"))</f>
        <v/>
      </c>
      <c r="AF69" s="200" t="str">
        <f t="shared" si="18"/>
        <v/>
      </c>
      <c r="AG69" s="117" t="str">
        <f>IF(D69="","",VLOOKUP(F69,'9. All Habitats + Multipliers'!$C$4:$K$102,5,FALSE))</f>
        <v/>
      </c>
      <c r="AH69" s="95" t="str">
        <f>IF(AG69="","",VLOOKUP(AG69,'11. Lists'!$B$47:$D$49,2,FALSE))</f>
        <v/>
      </c>
      <c r="AI69" s="200" t="str">
        <f t="shared" si="19"/>
        <v/>
      </c>
      <c r="AJ69" s="94" t="str">
        <f>IF(AI69="","",VLOOKUP(AI69,'11. Lists'!$F$47:$G$51,2,FALSE))</f>
        <v/>
      </c>
      <c r="AK69" s="392"/>
      <c r="AL69" s="392"/>
      <c r="AM69" s="392"/>
      <c r="AN69" s="95" t="str">
        <f t="shared" si="20"/>
        <v/>
      </c>
      <c r="AO69" s="205" t="str">
        <f>IF(AN69="","",VLOOKUP(AN69,'11. Lists'!$F$36:$H$38,2,FALSE))</f>
        <v/>
      </c>
      <c r="AP69" s="95"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1"/>
        <v/>
      </c>
      <c r="BA69" s="94">
        <v>2</v>
      </c>
      <c r="BB69" s="96" t="str">
        <f t="shared" si="22"/>
        <v/>
      </c>
      <c r="BC69" s="96" t="str">
        <f t="shared" si="23"/>
        <v/>
      </c>
      <c r="BD69" s="96" t="str">
        <f t="shared" si="24"/>
        <v/>
      </c>
      <c r="BE69" s="96" t="str">
        <f t="shared" si="25"/>
        <v/>
      </c>
      <c r="BF69" s="96" t="str">
        <f t="shared" si="26"/>
        <v/>
      </c>
      <c r="BG69" s="96" t="str">
        <f t="shared" si="27"/>
        <v/>
      </c>
      <c r="BH69" s="96" t="str">
        <f t="shared" si="28"/>
        <v/>
      </c>
      <c r="BI69" s="96" t="str">
        <f t="shared" si="29"/>
        <v/>
      </c>
      <c r="BJ69" s="96" t="str">
        <f t="shared" si="30"/>
        <v/>
      </c>
      <c r="BK69" s="96" t="str">
        <f t="shared" si="31"/>
        <v/>
      </c>
      <c r="BL69" s="96" t="str">
        <f t="shared" si="32"/>
        <v/>
      </c>
      <c r="BM69" s="96" t="str">
        <f t="shared" si="33"/>
        <v/>
      </c>
      <c r="BN69" s="96" t="str">
        <f t="shared" si="34"/>
        <v/>
      </c>
      <c r="BO69" s="96" t="str">
        <f t="shared" si="35"/>
        <v/>
      </c>
      <c r="BP69" s="96" t="str">
        <f t="shared" si="36"/>
        <v/>
      </c>
      <c r="BQ69" s="96" t="str">
        <f t="shared" si="37"/>
        <v/>
      </c>
      <c r="BR69" s="96" t="str">
        <f t="shared" si="38"/>
        <v/>
      </c>
      <c r="BS69" s="96" t="str">
        <f t="shared" si="39"/>
        <v/>
      </c>
      <c r="BT69" s="96" t="str">
        <f t="shared" si="40"/>
        <v/>
      </c>
      <c r="BU69" s="95" t="str">
        <f t="shared" si="41"/>
        <v/>
      </c>
      <c r="BV69" s="205" t="str">
        <f t="shared" ref="BV69:BV87" si="48">IF(BX69=0,"",CONCATENATE(BW69,"68:",BW69,BX69+67))</f>
        <v/>
      </c>
      <c r="BW69" s="96" t="s">
        <v>136</v>
      </c>
      <c r="BX69" s="96">
        <f>BC66</f>
        <v>0</v>
      </c>
    </row>
    <row r="70" spans="1:76" s="26" customFormat="1" ht="15.75" x14ac:dyDescent="0.25">
      <c r="A70" s="90"/>
      <c r="B70" s="298">
        <v>3</v>
      </c>
      <c r="C70" s="122" t="str">
        <f t="shared" si="11"/>
        <v/>
      </c>
      <c r="D70" s="229" t="str">
        <f t="shared" si="42"/>
        <v/>
      </c>
      <c r="E70" s="176" t="str">
        <f t="shared" si="12"/>
        <v/>
      </c>
      <c r="F70" s="632"/>
      <c r="G70" s="633"/>
      <c r="H70" s="172" t="str">
        <f t="shared" si="13"/>
        <v/>
      </c>
      <c r="I70" s="367" t="str">
        <f t="shared" si="43"/>
        <v/>
      </c>
      <c r="J70" s="617" t="str">
        <f>IFERROR(IF(F70="","",VLOOKUP(F70,'10. Condition and Temporal'!$B$6:$F$103,5,FALSE)), "Error ▲")</f>
        <v/>
      </c>
      <c r="K70" s="618"/>
      <c r="L70" s="317" t="str">
        <f t="shared" si="44"/>
        <v/>
      </c>
      <c r="M70" s="609" t="str">
        <f t="shared" si="45"/>
        <v/>
      </c>
      <c r="N70" s="610"/>
      <c r="O70" s="75"/>
      <c r="P70" s="12"/>
      <c r="R70" s="664"/>
      <c r="T70" s="196" t="str">
        <f t="shared" si="14"/>
        <v/>
      </c>
      <c r="U70" s="117" t="str">
        <f t="shared" si="46"/>
        <v/>
      </c>
      <c r="V70" s="95" t="str">
        <f t="shared" si="15"/>
        <v/>
      </c>
      <c r="W70" s="94" t="str">
        <f t="shared" si="15"/>
        <v/>
      </c>
      <c r="X70" s="96" t="str">
        <f t="shared" si="15"/>
        <v/>
      </c>
      <c r="Y70" s="392"/>
      <c r="Z70" s="392"/>
      <c r="AA70" s="392"/>
      <c r="AB70" s="96" t="str">
        <f t="shared" si="16"/>
        <v/>
      </c>
      <c r="AC70" s="119" t="str">
        <f t="shared" si="17"/>
        <v/>
      </c>
      <c r="AD70" s="118" t="str">
        <f t="shared" ref="AD70:AD87" si="49">IF(AC70="","",(T70*V70*X70)*AC70/10000)</f>
        <v/>
      </c>
      <c r="AE70" s="198" t="str">
        <f t="shared" si="47"/>
        <v/>
      </c>
      <c r="AF70" s="200" t="str">
        <f t="shared" si="18"/>
        <v/>
      </c>
      <c r="AG70" s="117" t="str">
        <f>IF(D70="","",VLOOKUP(F70,'9. All Habitats + Multipliers'!$C$4:$K$102,5,FALSE))</f>
        <v/>
      </c>
      <c r="AH70" s="95" t="str">
        <f>IF(AG70="","",VLOOKUP(AG70,'11. Lists'!$B$47:$D$49,2,FALSE))</f>
        <v/>
      </c>
      <c r="AI70" s="200" t="str">
        <f t="shared" si="19"/>
        <v/>
      </c>
      <c r="AJ70" s="94" t="str">
        <f>IF(AI70="","",VLOOKUP(AI70,'11. Lists'!$F$47:$G$51,2,FALSE))</f>
        <v/>
      </c>
      <c r="AK70" s="392"/>
      <c r="AL70" s="392"/>
      <c r="AM70" s="392"/>
      <c r="AN70" s="95" t="str">
        <f t="shared" si="20"/>
        <v/>
      </c>
      <c r="AO70" s="205" t="str">
        <f>IF(AN70="","",VLOOKUP(AN70,'11. Lists'!$F$36:$H$38,2,FALSE))</f>
        <v/>
      </c>
      <c r="AP70" s="95"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1"/>
        <v/>
      </c>
      <c r="BA70" s="94">
        <v>3</v>
      </c>
      <c r="BB70" s="96" t="str">
        <f t="shared" si="22"/>
        <v/>
      </c>
      <c r="BC70" s="96" t="str">
        <f t="shared" si="23"/>
        <v/>
      </c>
      <c r="BD70" s="96" t="str">
        <f t="shared" si="24"/>
        <v/>
      </c>
      <c r="BE70" s="96" t="str">
        <f t="shared" si="25"/>
        <v/>
      </c>
      <c r="BF70" s="96" t="str">
        <f t="shared" si="26"/>
        <v/>
      </c>
      <c r="BG70" s="96" t="str">
        <f t="shared" si="27"/>
        <v/>
      </c>
      <c r="BH70" s="96" t="str">
        <f t="shared" si="28"/>
        <v/>
      </c>
      <c r="BI70" s="96" t="str">
        <f t="shared" si="29"/>
        <v/>
      </c>
      <c r="BJ70" s="96" t="str">
        <f t="shared" si="30"/>
        <v/>
      </c>
      <c r="BK70" s="96" t="str">
        <f t="shared" si="31"/>
        <v/>
      </c>
      <c r="BL70" s="96" t="str">
        <f t="shared" si="32"/>
        <v/>
      </c>
      <c r="BM70" s="96" t="str">
        <f t="shared" si="33"/>
        <v/>
      </c>
      <c r="BN70" s="96" t="str">
        <f t="shared" si="34"/>
        <v/>
      </c>
      <c r="BO70" s="96" t="str">
        <f t="shared" si="35"/>
        <v/>
      </c>
      <c r="BP70" s="96" t="str">
        <f t="shared" si="36"/>
        <v/>
      </c>
      <c r="BQ70" s="96" t="str">
        <f t="shared" si="37"/>
        <v/>
      </c>
      <c r="BR70" s="96" t="str">
        <f t="shared" si="38"/>
        <v/>
      </c>
      <c r="BS70" s="96" t="str">
        <f t="shared" si="39"/>
        <v/>
      </c>
      <c r="BT70" s="96" t="str">
        <f t="shared" si="40"/>
        <v/>
      </c>
      <c r="BU70" s="95" t="str">
        <f t="shared" si="41"/>
        <v/>
      </c>
      <c r="BV70" s="205" t="str">
        <f t="shared" si="48"/>
        <v/>
      </c>
      <c r="BW70" s="96" t="s">
        <v>137</v>
      </c>
      <c r="BX70" s="96">
        <f>BD66</f>
        <v>0</v>
      </c>
    </row>
    <row r="71" spans="1:76" s="26" customFormat="1" ht="15.75" x14ac:dyDescent="0.25">
      <c r="A71" s="90"/>
      <c r="B71" s="298">
        <v>4</v>
      </c>
      <c r="C71" s="122" t="str">
        <f t="shared" si="11"/>
        <v/>
      </c>
      <c r="D71" s="229" t="str">
        <f t="shared" si="42"/>
        <v/>
      </c>
      <c r="E71" s="176" t="str">
        <f t="shared" si="12"/>
        <v/>
      </c>
      <c r="F71" s="632"/>
      <c r="G71" s="633"/>
      <c r="H71" s="172" t="str">
        <f t="shared" si="13"/>
        <v/>
      </c>
      <c r="I71" s="367" t="str">
        <f t="shared" si="43"/>
        <v/>
      </c>
      <c r="J71" s="617" t="str">
        <f>IFERROR(IF(F71="","",VLOOKUP(F71,'10. Condition and Temporal'!$B$6:$F$103,5,FALSE)), "Error ▲")</f>
        <v/>
      </c>
      <c r="K71" s="618"/>
      <c r="L71" s="317" t="str">
        <f t="shared" si="44"/>
        <v/>
      </c>
      <c r="M71" s="609" t="str">
        <f t="shared" si="45"/>
        <v/>
      </c>
      <c r="N71" s="610"/>
      <c r="O71" s="75"/>
      <c r="P71" s="12"/>
      <c r="R71" s="664"/>
      <c r="T71" s="196" t="str">
        <f t="shared" si="14"/>
        <v/>
      </c>
      <c r="U71" s="117" t="str">
        <f t="shared" si="46"/>
        <v/>
      </c>
      <c r="V71" s="95" t="str">
        <f t="shared" si="15"/>
        <v/>
      </c>
      <c r="W71" s="94" t="str">
        <f t="shared" si="15"/>
        <v/>
      </c>
      <c r="X71" s="96" t="str">
        <f t="shared" si="15"/>
        <v/>
      </c>
      <c r="Y71" s="392"/>
      <c r="Z71" s="392"/>
      <c r="AA71" s="392"/>
      <c r="AB71" s="96" t="str">
        <f t="shared" si="16"/>
        <v/>
      </c>
      <c r="AC71" s="119" t="str">
        <f t="shared" si="17"/>
        <v/>
      </c>
      <c r="AD71" s="118" t="str">
        <f t="shared" si="49"/>
        <v/>
      </c>
      <c r="AE71" s="198" t="str">
        <f t="shared" si="47"/>
        <v/>
      </c>
      <c r="AF71" s="200" t="str">
        <f t="shared" si="18"/>
        <v/>
      </c>
      <c r="AG71" s="117" t="str">
        <f>IF(D71="","",VLOOKUP(F71,'9. All Habitats + Multipliers'!$C$4:$K$102,5,FALSE))</f>
        <v/>
      </c>
      <c r="AH71" s="95" t="str">
        <f>IF(AG71="","",VLOOKUP(AG71,'11. Lists'!$B$47:$D$49,2,FALSE))</f>
        <v/>
      </c>
      <c r="AI71" s="200" t="str">
        <f t="shared" si="19"/>
        <v/>
      </c>
      <c r="AJ71" s="94" t="str">
        <f>IF(AI71="","",VLOOKUP(AI71,'11. Lists'!$F$47:$G$51,2,FALSE))</f>
        <v/>
      </c>
      <c r="AK71" s="392"/>
      <c r="AL71" s="392"/>
      <c r="AM71" s="392"/>
      <c r="AN71" s="95" t="str">
        <f t="shared" si="20"/>
        <v/>
      </c>
      <c r="AO71" s="205" t="str">
        <f>IF(AN71="","",VLOOKUP(AN71,'11. Lists'!$F$36:$H$38,2,FALSE))</f>
        <v/>
      </c>
      <c r="AP71" s="95"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1"/>
        <v/>
      </c>
      <c r="BA71" s="94">
        <v>4</v>
      </c>
      <c r="BB71" s="96" t="str">
        <f t="shared" si="22"/>
        <v/>
      </c>
      <c r="BC71" s="96" t="str">
        <f t="shared" si="23"/>
        <v/>
      </c>
      <c r="BD71" s="96" t="str">
        <f t="shared" si="24"/>
        <v/>
      </c>
      <c r="BE71" s="96" t="str">
        <f t="shared" si="25"/>
        <v/>
      </c>
      <c r="BF71" s="96" t="str">
        <f t="shared" si="26"/>
        <v/>
      </c>
      <c r="BG71" s="96" t="str">
        <f t="shared" si="27"/>
        <v/>
      </c>
      <c r="BH71" s="96" t="str">
        <f t="shared" si="28"/>
        <v/>
      </c>
      <c r="BI71" s="96" t="str">
        <f t="shared" si="29"/>
        <v/>
      </c>
      <c r="BJ71" s="96" t="str">
        <f t="shared" si="30"/>
        <v/>
      </c>
      <c r="BK71" s="96" t="str">
        <f t="shared" si="31"/>
        <v/>
      </c>
      <c r="BL71" s="96" t="str">
        <f t="shared" si="32"/>
        <v/>
      </c>
      <c r="BM71" s="96" t="str">
        <f t="shared" si="33"/>
        <v/>
      </c>
      <c r="BN71" s="96" t="str">
        <f t="shared" si="34"/>
        <v/>
      </c>
      <c r="BO71" s="96" t="str">
        <f t="shared" si="35"/>
        <v/>
      </c>
      <c r="BP71" s="96" t="str">
        <f t="shared" si="36"/>
        <v/>
      </c>
      <c r="BQ71" s="96" t="str">
        <f t="shared" si="37"/>
        <v/>
      </c>
      <c r="BR71" s="96" t="str">
        <f t="shared" si="38"/>
        <v/>
      </c>
      <c r="BS71" s="96" t="str">
        <f t="shared" si="39"/>
        <v/>
      </c>
      <c r="BT71" s="96" t="str">
        <f t="shared" si="40"/>
        <v/>
      </c>
      <c r="BU71" s="95" t="str">
        <f t="shared" si="41"/>
        <v/>
      </c>
      <c r="BV71" s="205" t="str">
        <f t="shared" si="48"/>
        <v/>
      </c>
      <c r="BW71" s="96" t="s">
        <v>138</v>
      </c>
      <c r="BX71" s="96">
        <f>BE66</f>
        <v>0</v>
      </c>
    </row>
    <row r="72" spans="1:76" s="26" customFormat="1" ht="15.75" x14ac:dyDescent="0.25">
      <c r="A72" s="90"/>
      <c r="B72" s="298">
        <v>5</v>
      </c>
      <c r="C72" s="122" t="str">
        <f t="shared" si="11"/>
        <v/>
      </c>
      <c r="D72" s="229" t="str">
        <f t="shared" si="42"/>
        <v/>
      </c>
      <c r="E72" s="176" t="str">
        <f t="shared" si="12"/>
        <v/>
      </c>
      <c r="F72" s="632"/>
      <c r="G72" s="633"/>
      <c r="H72" s="172" t="str">
        <f t="shared" si="13"/>
        <v/>
      </c>
      <c r="I72" s="367" t="str">
        <f t="shared" si="43"/>
        <v/>
      </c>
      <c r="J72" s="617" t="str">
        <f>IFERROR(IF(F72="","",VLOOKUP(F72,'10. Condition and Temporal'!$B$6:$F$103,5,FALSE)), "Error ▲")</f>
        <v/>
      </c>
      <c r="K72" s="618"/>
      <c r="L72" s="317" t="str">
        <f t="shared" si="44"/>
        <v/>
      </c>
      <c r="M72" s="609" t="str">
        <f t="shared" si="45"/>
        <v/>
      </c>
      <c r="N72" s="610"/>
      <c r="O72" s="75"/>
      <c r="P72" s="12"/>
      <c r="R72" s="664"/>
      <c r="T72" s="196" t="str">
        <f t="shared" si="14"/>
        <v/>
      </c>
      <c r="U72" s="117" t="str">
        <f t="shared" si="46"/>
        <v/>
      </c>
      <c r="V72" s="95" t="str">
        <f t="shared" si="15"/>
        <v/>
      </c>
      <c r="W72" s="94" t="str">
        <f t="shared" si="15"/>
        <v/>
      </c>
      <c r="X72" s="96" t="str">
        <f t="shared" si="15"/>
        <v/>
      </c>
      <c r="Y72" s="392"/>
      <c r="Z72" s="392"/>
      <c r="AA72" s="392"/>
      <c r="AB72" s="96" t="str">
        <f t="shared" si="16"/>
        <v/>
      </c>
      <c r="AC72" s="119" t="str">
        <f t="shared" si="17"/>
        <v/>
      </c>
      <c r="AD72" s="118" t="str">
        <f t="shared" si="49"/>
        <v/>
      </c>
      <c r="AE72" s="198" t="str">
        <f t="shared" si="47"/>
        <v/>
      </c>
      <c r="AF72" s="200" t="str">
        <f t="shared" si="18"/>
        <v/>
      </c>
      <c r="AG72" s="117" t="str">
        <f>IF(D72="","",VLOOKUP(F72,'9. All Habitats + Multipliers'!$C$4:$K$102,5,FALSE))</f>
        <v/>
      </c>
      <c r="AH72" s="95" t="str">
        <f>IF(AG72="","",VLOOKUP(AG72,'11. Lists'!$B$47:$D$49,2,FALSE))</f>
        <v/>
      </c>
      <c r="AI72" s="200" t="str">
        <f t="shared" si="19"/>
        <v/>
      </c>
      <c r="AJ72" s="94" t="str">
        <f>IF(AI72="","",VLOOKUP(AI72,'11. Lists'!$F$47:$G$51,2,FALSE))</f>
        <v/>
      </c>
      <c r="AK72" s="392"/>
      <c r="AL72" s="392"/>
      <c r="AM72" s="392"/>
      <c r="AN72" s="95" t="str">
        <f t="shared" si="20"/>
        <v/>
      </c>
      <c r="AO72" s="205" t="str">
        <f>IF(AN72="","",VLOOKUP(AN72,'11. Lists'!$F$36:$H$38,2,FALSE))</f>
        <v/>
      </c>
      <c r="AP72" s="95"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1"/>
        <v/>
      </c>
      <c r="BA72" s="94">
        <v>5</v>
      </c>
      <c r="BB72" s="96" t="str">
        <f t="shared" si="22"/>
        <v/>
      </c>
      <c r="BC72" s="96" t="str">
        <f t="shared" si="23"/>
        <v/>
      </c>
      <c r="BD72" s="96" t="str">
        <f t="shared" si="24"/>
        <v/>
      </c>
      <c r="BE72" s="96" t="str">
        <f t="shared" si="25"/>
        <v/>
      </c>
      <c r="BF72" s="96" t="str">
        <f t="shared" si="26"/>
        <v/>
      </c>
      <c r="BG72" s="96" t="str">
        <f t="shared" si="27"/>
        <v/>
      </c>
      <c r="BH72" s="96" t="str">
        <f t="shared" si="28"/>
        <v/>
      </c>
      <c r="BI72" s="96" t="str">
        <f t="shared" si="29"/>
        <v/>
      </c>
      <c r="BJ72" s="96" t="str">
        <f t="shared" si="30"/>
        <v/>
      </c>
      <c r="BK72" s="96" t="str">
        <f t="shared" si="31"/>
        <v/>
      </c>
      <c r="BL72" s="96" t="str">
        <f t="shared" si="32"/>
        <v/>
      </c>
      <c r="BM72" s="96" t="str">
        <f t="shared" si="33"/>
        <v/>
      </c>
      <c r="BN72" s="96" t="str">
        <f t="shared" si="34"/>
        <v/>
      </c>
      <c r="BO72" s="96" t="str">
        <f t="shared" si="35"/>
        <v/>
      </c>
      <c r="BP72" s="96" t="str">
        <f t="shared" si="36"/>
        <v/>
      </c>
      <c r="BQ72" s="96" t="str">
        <f t="shared" si="37"/>
        <v/>
      </c>
      <c r="BR72" s="96" t="str">
        <f t="shared" si="38"/>
        <v/>
      </c>
      <c r="BS72" s="96" t="str">
        <f t="shared" si="39"/>
        <v/>
      </c>
      <c r="BT72" s="96" t="str">
        <f t="shared" si="40"/>
        <v/>
      </c>
      <c r="BU72" s="95" t="str">
        <f t="shared" si="41"/>
        <v/>
      </c>
      <c r="BV72" s="205" t="str">
        <f t="shared" si="48"/>
        <v/>
      </c>
      <c r="BW72" s="96" t="s">
        <v>139</v>
      </c>
      <c r="BX72" s="96">
        <f>BF66</f>
        <v>0</v>
      </c>
    </row>
    <row r="73" spans="1:76" s="26" customFormat="1" ht="15.75" x14ac:dyDescent="0.25">
      <c r="A73" s="90"/>
      <c r="B73" s="298">
        <v>6</v>
      </c>
      <c r="C73" s="122" t="str">
        <f t="shared" si="11"/>
        <v/>
      </c>
      <c r="D73" s="229" t="str">
        <f t="shared" si="42"/>
        <v/>
      </c>
      <c r="E73" s="176" t="str">
        <f t="shared" si="12"/>
        <v/>
      </c>
      <c r="F73" s="632"/>
      <c r="G73" s="633"/>
      <c r="H73" s="172" t="str">
        <f t="shared" si="13"/>
        <v/>
      </c>
      <c r="I73" s="367" t="str">
        <f t="shared" si="43"/>
        <v/>
      </c>
      <c r="J73" s="617" t="str">
        <f>IFERROR(IF(F73="","",VLOOKUP(F73,'10. Condition and Temporal'!$B$6:$F$103,5,FALSE)), "Error ▲")</f>
        <v/>
      </c>
      <c r="K73" s="618"/>
      <c r="L73" s="317" t="str">
        <f t="shared" si="44"/>
        <v/>
      </c>
      <c r="M73" s="609" t="str">
        <f t="shared" si="45"/>
        <v/>
      </c>
      <c r="N73" s="610"/>
      <c r="O73" s="75"/>
      <c r="P73" s="12"/>
      <c r="R73" s="664"/>
      <c r="T73" s="196" t="str">
        <f t="shared" si="14"/>
        <v/>
      </c>
      <c r="U73" s="117" t="str">
        <f t="shared" si="46"/>
        <v/>
      </c>
      <c r="V73" s="95" t="str">
        <f t="shared" si="15"/>
        <v/>
      </c>
      <c r="W73" s="94" t="str">
        <f t="shared" si="15"/>
        <v/>
      </c>
      <c r="X73" s="96" t="str">
        <f t="shared" si="15"/>
        <v/>
      </c>
      <c r="Y73" s="392"/>
      <c r="Z73" s="392"/>
      <c r="AA73" s="392"/>
      <c r="AB73" s="96" t="str">
        <f t="shared" si="16"/>
        <v/>
      </c>
      <c r="AC73" s="119" t="str">
        <f t="shared" si="17"/>
        <v/>
      </c>
      <c r="AD73" s="118" t="str">
        <f t="shared" si="49"/>
        <v/>
      </c>
      <c r="AE73" s="198" t="str">
        <f t="shared" si="47"/>
        <v/>
      </c>
      <c r="AF73" s="200" t="str">
        <f t="shared" si="18"/>
        <v/>
      </c>
      <c r="AG73" s="117" t="str">
        <f>IF(D73="","",VLOOKUP(F73,'9. All Habitats + Multipliers'!$C$4:$K$102,5,FALSE))</f>
        <v/>
      </c>
      <c r="AH73" s="95" t="str">
        <f>IF(AG73="","",VLOOKUP(AG73,'11. Lists'!$B$47:$D$49,2,FALSE))</f>
        <v/>
      </c>
      <c r="AI73" s="200" t="str">
        <f t="shared" si="19"/>
        <v/>
      </c>
      <c r="AJ73" s="94" t="str">
        <f>IF(AI73="","",VLOOKUP(AI73,'11. Lists'!$F$47:$G$51,2,FALSE))</f>
        <v/>
      </c>
      <c r="AK73" s="392"/>
      <c r="AL73" s="392"/>
      <c r="AM73" s="392"/>
      <c r="AN73" s="95" t="str">
        <f t="shared" si="20"/>
        <v/>
      </c>
      <c r="AO73" s="205" t="str">
        <f>IF(AN73="","",VLOOKUP(AN73,'11. Lists'!$F$36:$H$38,2,FALSE))</f>
        <v/>
      </c>
      <c r="AP73" s="95"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1"/>
        <v/>
      </c>
      <c r="BA73" s="94">
        <v>6</v>
      </c>
      <c r="BB73" s="96" t="str">
        <f t="shared" si="22"/>
        <v/>
      </c>
      <c r="BC73" s="96" t="str">
        <f t="shared" si="23"/>
        <v/>
      </c>
      <c r="BD73" s="96" t="str">
        <f t="shared" si="24"/>
        <v/>
      </c>
      <c r="BE73" s="96" t="str">
        <f t="shared" si="25"/>
        <v/>
      </c>
      <c r="BF73" s="96" t="str">
        <f t="shared" si="26"/>
        <v/>
      </c>
      <c r="BG73" s="96" t="str">
        <f t="shared" si="27"/>
        <v/>
      </c>
      <c r="BH73" s="96" t="str">
        <f t="shared" si="28"/>
        <v/>
      </c>
      <c r="BI73" s="96" t="str">
        <f t="shared" si="29"/>
        <v/>
      </c>
      <c r="BJ73" s="96" t="str">
        <f t="shared" si="30"/>
        <v/>
      </c>
      <c r="BK73" s="96" t="str">
        <f t="shared" si="31"/>
        <v/>
      </c>
      <c r="BL73" s="96" t="str">
        <f t="shared" si="32"/>
        <v/>
      </c>
      <c r="BM73" s="96" t="str">
        <f t="shared" si="33"/>
        <v/>
      </c>
      <c r="BN73" s="96" t="str">
        <f t="shared" si="34"/>
        <v/>
      </c>
      <c r="BO73" s="96" t="str">
        <f t="shared" si="35"/>
        <v/>
      </c>
      <c r="BP73" s="96" t="str">
        <f t="shared" si="36"/>
        <v/>
      </c>
      <c r="BQ73" s="96" t="str">
        <f t="shared" si="37"/>
        <v/>
      </c>
      <c r="BR73" s="96" t="str">
        <f t="shared" si="38"/>
        <v/>
      </c>
      <c r="BS73" s="96" t="str">
        <f t="shared" si="39"/>
        <v/>
      </c>
      <c r="BT73" s="96" t="str">
        <f t="shared" si="40"/>
        <v/>
      </c>
      <c r="BU73" s="95" t="str">
        <f t="shared" si="41"/>
        <v/>
      </c>
      <c r="BV73" s="205" t="str">
        <f t="shared" si="48"/>
        <v/>
      </c>
      <c r="BW73" s="96" t="s">
        <v>140</v>
      </c>
      <c r="BX73" s="96">
        <f>BG66</f>
        <v>0</v>
      </c>
    </row>
    <row r="74" spans="1:76" s="26" customFormat="1" ht="15.75" x14ac:dyDescent="0.25">
      <c r="A74" s="90"/>
      <c r="B74" s="298">
        <v>7</v>
      </c>
      <c r="C74" s="122" t="str">
        <f t="shared" si="11"/>
        <v/>
      </c>
      <c r="D74" s="229" t="str">
        <f t="shared" si="42"/>
        <v/>
      </c>
      <c r="E74" s="176" t="str">
        <f t="shared" si="12"/>
        <v/>
      </c>
      <c r="F74" s="632"/>
      <c r="G74" s="633"/>
      <c r="H74" s="172" t="str">
        <f t="shared" si="13"/>
        <v/>
      </c>
      <c r="I74" s="367" t="str">
        <f t="shared" si="43"/>
        <v/>
      </c>
      <c r="J74" s="617" t="str">
        <f>IFERROR(IF(F74="","",VLOOKUP(F74,'10. Condition and Temporal'!$B$6:$F$103,5,FALSE)), "Error ▲")</f>
        <v/>
      </c>
      <c r="K74" s="618"/>
      <c r="L74" s="317" t="str">
        <f t="shared" si="44"/>
        <v/>
      </c>
      <c r="M74" s="609" t="str">
        <f t="shared" si="45"/>
        <v/>
      </c>
      <c r="N74" s="610"/>
      <c r="O74" s="75"/>
      <c r="P74" s="12"/>
      <c r="R74" s="664"/>
      <c r="T74" s="196" t="str">
        <f t="shared" si="14"/>
        <v/>
      </c>
      <c r="U74" s="117" t="str">
        <f t="shared" si="46"/>
        <v/>
      </c>
      <c r="V74" s="95" t="str">
        <f t="shared" si="15"/>
        <v/>
      </c>
      <c r="W74" s="94" t="str">
        <f t="shared" si="15"/>
        <v/>
      </c>
      <c r="X74" s="96" t="str">
        <f t="shared" si="15"/>
        <v/>
      </c>
      <c r="Y74" s="392"/>
      <c r="Z74" s="392"/>
      <c r="AA74" s="392"/>
      <c r="AB74" s="96" t="str">
        <f t="shared" si="16"/>
        <v/>
      </c>
      <c r="AC74" s="119" t="str">
        <f t="shared" si="17"/>
        <v/>
      </c>
      <c r="AD74" s="118" t="str">
        <f t="shared" si="49"/>
        <v/>
      </c>
      <c r="AE74" s="198" t="str">
        <f t="shared" si="47"/>
        <v/>
      </c>
      <c r="AF74" s="200" t="str">
        <f t="shared" si="18"/>
        <v/>
      </c>
      <c r="AG74" s="117" t="str">
        <f>IF(D74="","",VLOOKUP(F74,'9. All Habitats + Multipliers'!$C$4:$K$102,5,FALSE))</f>
        <v/>
      </c>
      <c r="AH74" s="95" t="str">
        <f>IF(AG74="","",VLOOKUP(AG74,'11. Lists'!$B$47:$D$49,2,FALSE))</f>
        <v/>
      </c>
      <c r="AI74" s="200" t="str">
        <f t="shared" si="19"/>
        <v/>
      </c>
      <c r="AJ74" s="94" t="str">
        <f>IF(AI74="","",VLOOKUP(AI74,'11. Lists'!$F$47:$G$51,2,FALSE))</f>
        <v/>
      </c>
      <c r="AK74" s="392"/>
      <c r="AL74" s="392"/>
      <c r="AM74" s="392"/>
      <c r="AN74" s="95" t="str">
        <f t="shared" si="20"/>
        <v/>
      </c>
      <c r="AO74" s="205" t="str">
        <f>IF(AN74="","",VLOOKUP(AN74,'11. Lists'!$F$36:$H$38,2,FALSE))</f>
        <v/>
      </c>
      <c r="AP74" s="95"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1"/>
        <v/>
      </c>
      <c r="BA74" s="94">
        <v>7</v>
      </c>
      <c r="BB74" s="96" t="str">
        <f t="shared" si="22"/>
        <v/>
      </c>
      <c r="BC74" s="96" t="str">
        <f t="shared" si="23"/>
        <v/>
      </c>
      <c r="BD74" s="96" t="str">
        <f t="shared" si="24"/>
        <v/>
      </c>
      <c r="BE74" s="96" t="str">
        <f t="shared" si="25"/>
        <v/>
      </c>
      <c r="BF74" s="96" t="str">
        <f t="shared" si="26"/>
        <v/>
      </c>
      <c r="BG74" s="96" t="str">
        <f t="shared" si="27"/>
        <v/>
      </c>
      <c r="BH74" s="96" t="str">
        <f t="shared" si="28"/>
        <v/>
      </c>
      <c r="BI74" s="96" t="str">
        <f t="shared" si="29"/>
        <v/>
      </c>
      <c r="BJ74" s="96" t="str">
        <f t="shared" si="30"/>
        <v/>
      </c>
      <c r="BK74" s="96" t="str">
        <f t="shared" si="31"/>
        <v/>
      </c>
      <c r="BL74" s="96" t="str">
        <f t="shared" si="32"/>
        <v/>
      </c>
      <c r="BM74" s="96" t="str">
        <f t="shared" si="33"/>
        <v/>
      </c>
      <c r="BN74" s="96" t="str">
        <f t="shared" si="34"/>
        <v/>
      </c>
      <c r="BO74" s="96" t="str">
        <f t="shared" si="35"/>
        <v/>
      </c>
      <c r="BP74" s="96" t="str">
        <f t="shared" si="36"/>
        <v/>
      </c>
      <c r="BQ74" s="96" t="str">
        <f t="shared" si="37"/>
        <v/>
      </c>
      <c r="BR74" s="96" t="str">
        <f t="shared" si="38"/>
        <v/>
      </c>
      <c r="BS74" s="96" t="str">
        <f t="shared" si="39"/>
        <v/>
      </c>
      <c r="BT74" s="96" t="str">
        <f t="shared" si="40"/>
        <v/>
      </c>
      <c r="BU74" s="95" t="str">
        <f t="shared" si="41"/>
        <v/>
      </c>
      <c r="BV74" s="205" t="str">
        <f t="shared" si="48"/>
        <v/>
      </c>
      <c r="BW74" s="96" t="s">
        <v>141</v>
      </c>
      <c r="BX74" s="96">
        <f>BH66</f>
        <v>0</v>
      </c>
    </row>
    <row r="75" spans="1:76" s="26" customFormat="1" ht="15.75" x14ac:dyDescent="0.25">
      <c r="A75" s="90"/>
      <c r="B75" s="298">
        <v>8</v>
      </c>
      <c r="C75" s="122" t="str">
        <f t="shared" si="11"/>
        <v/>
      </c>
      <c r="D75" s="229" t="str">
        <f t="shared" si="42"/>
        <v/>
      </c>
      <c r="E75" s="176" t="str">
        <f t="shared" si="12"/>
        <v/>
      </c>
      <c r="F75" s="632"/>
      <c r="G75" s="633"/>
      <c r="H75" s="172" t="str">
        <f t="shared" si="13"/>
        <v/>
      </c>
      <c r="I75" s="367" t="str">
        <f t="shared" si="43"/>
        <v/>
      </c>
      <c r="J75" s="617" t="str">
        <f>IFERROR(IF(F75="","",VLOOKUP(F75,'10. Condition and Temporal'!$B$6:$F$103,5,FALSE)), "Error ▲")</f>
        <v/>
      </c>
      <c r="K75" s="618"/>
      <c r="L75" s="317" t="str">
        <f t="shared" si="44"/>
        <v/>
      </c>
      <c r="M75" s="609" t="str">
        <f t="shared" si="45"/>
        <v/>
      </c>
      <c r="N75" s="610"/>
      <c r="O75" s="75"/>
      <c r="P75" s="12"/>
      <c r="R75" s="664"/>
      <c r="T75" s="196" t="str">
        <f t="shared" si="14"/>
        <v/>
      </c>
      <c r="U75" s="117" t="str">
        <f t="shared" si="46"/>
        <v/>
      </c>
      <c r="V75" s="95" t="str">
        <f t="shared" si="15"/>
        <v/>
      </c>
      <c r="W75" s="94" t="str">
        <f t="shared" si="15"/>
        <v/>
      </c>
      <c r="X75" s="96" t="str">
        <f t="shared" si="15"/>
        <v/>
      </c>
      <c r="Y75" s="392"/>
      <c r="Z75" s="392"/>
      <c r="AA75" s="392"/>
      <c r="AB75" s="96" t="str">
        <f t="shared" si="16"/>
        <v/>
      </c>
      <c r="AC75" s="119" t="str">
        <f t="shared" si="17"/>
        <v/>
      </c>
      <c r="AD75" s="118" t="str">
        <f t="shared" si="49"/>
        <v/>
      </c>
      <c r="AE75" s="198" t="str">
        <f t="shared" si="47"/>
        <v/>
      </c>
      <c r="AF75" s="200" t="str">
        <f t="shared" si="18"/>
        <v/>
      </c>
      <c r="AG75" s="117" t="str">
        <f>IF(D75="","",VLOOKUP(F75,'9. All Habitats + Multipliers'!$C$4:$K$102,5,FALSE))</f>
        <v/>
      </c>
      <c r="AH75" s="95" t="str">
        <f>IF(AG75="","",VLOOKUP(AG75,'11. Lists'!$B$47:$D$49,2,FALSE))</f>
        <v/>
      </c>
      <c r="AI75" s="200" t="str">
        <f t="shared" si="19"/>
        <v/>
      </c>
      <c r="AJ75" s="94" t="str">
        <f>IF(AI75="","",VLOOKUP(AI75,'11. Lists'!$F$47:$G$51,2,FALSE))</f>
        <v/>
      </c>
      <c r="AK75" s="392"/>
      <c r="AL75" s="392"/>
      <c r="AM75" s="392"/>
      <c r="AN75" s="95" t="str">
        <f t="shared" si="20"/>
        <v/>
      </c>
      <c r="AO75" s="205" t="str">
        <f>IF(AN75="","",VLOOKUP(AN75,'11. Lists'!$F$36:$H$38,2,FALSE))</f>
        <v/>
      </c>
      <c r="AP75" s="95"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1"/>
        <v/>
      </c>
      <c r="BA75" s="94">
        <v>8</v>
      </c>
      <c r="BB75" s="96" t="str">
        <f t="shared" si="22"/>
        <v/>
      </c>
      <c r="BC75" s="96" t="str">
        <f t="shared" si="23"/>
        <v/>
      </c>
      <c r="BD75" s="96" t="str">
        <f t="shared" si="24"/>
        <v/>
      </c>
      <c r="BE75" s="96" t="str">
        <f t="shared" si="25"/>
        <v/>
      </c>
      <c r="BF75" s="96" t="str">
        <f t="shared" si="26"/>
        <v/>
      </c>
      <c r="BG75" s="96" t="str">
        <f t="shared" si="27"/>
        <v/>
      </c>
      <c r="BH75" s="96" t="str">
        <f t="shared" si="28"/>
        <v/>
      </c>
      <c r="BI75" s="96" t="str">
        <f t="shared" si="29"/>
        <v/>
      </c>
      <c r="BJ75" s="96" t="str">
        <f t="shared" si="30"/>
        <v/>
      </c>
      <c r="BK75" s="96" t="str">
        <f t="shared" si="31"/>
        <v/>
      </c>
      <c r="BL75" s="96" t="str">
        <f t="shared" si="32"/>
        <v/>
      </c>
      <c r="BM75" s="96" t="str">
        <f t="shared" si="33"/>
        <v/>
      </c>
      <c r="BN75" s="96" t="str">
        <f t="shared" si="34"/>
        <v/>
      </c>
      <c r="BO75" s="96" t="str">
        <f t="shared" si="35"/>
        <v/>
      </c>
      <c r="BP75" s="96" t="str">
        <f t="shared" si="36"/>
        <v/>
      </c>
      <c r="BQ75" s="96" t="str">
        <f t="shared" si="37"/>
        <v/>
      </c>
      <c r="BR75" s="96" t="str">
        <f t="shared" si="38"/>
        <v/>
      </c>
      <c r="BS75" s="96" t="str">
        <f t="shared" si="39"/>
        <v/>
      </c>
      <c r="BT75" s="96" t="str">
        <f t="shared" si="40"/>
        <v/>
      </c>
      <c r="BU75" s="95" t="str">
        <f t="shared" si="41"/>
        <v/>
      </c>
      <c r="BV75" s="205" t="str">
        <f t="shared" si="48"/>
        <v/>
      </c>
      <c r="BW75" s="96" t="s">
        <v>142</v>
      </c>
      <c r="BX75" s="96">
        <f>BI66</f>
        <v>0</v>
      </c>
    </row>
    <row r="76" spans="1:76" s="26" customFormat="1" ht="15.75" x14ac:dyDescent="0.25">
      <c r="A76" s="90"/>
      <c r="B76" s="298">
        <v>9</v>
      </c>
      <c r="C76" s="122" t="str">
        <f t="shared" si="11"/>
        <v/>
      </c>
      <c r="D76" s="229" t="str">
        <f t="shared" si="42"/>
        <v/>
      </c>
      <c r="E76" s="176" t="str">
        <f t="shared" si="12"/>
        <v/>
      </c>
      <c r="F76" s="632"/>
      <c r="G76" s="633"/>
      <c r="H76" s="172" t="str">
        <f t="shared" si="13"/>
        <v/>
      </c>
      <c r="I76" s="367" t="str">
        <f t="shared" si="43"/>
        <v/>
      </c>
      <c r="J76" s="617" t="str">
        <f>IFERROR(IF(F76="","",VLOOKUP(F76,'10. Condition and Temporal'!$B$6:$F$103,5,FALSE)), "Error ▲")</f>
        <v/>
      </c>
      <c r="K76" s="618"/>
      <c r="L76" s="317" t="str">
        <f t="shared" si="44"/>
        <v/>
      </c>
      <c r="M76" s="609" t="str">
        <f t="shared" si="45"/>
        <v/>
      </c>
      <c r="N76" s="610"/>
      <c r="O76" s="75"/>
      <c r="P76" s="12"/>
      <c r="R76" s="664"/>
      <c r="T76" s="196" t="str">
        <f t="shared" si="14"/>
        <v/>
      </c>
      <c r="U76" s="117" t="str">
        <f t="shared" si="46"/>
        <v/>
      </c>
      <c r="V76" s="95" t="str">
        <f t="shared" si="15"/>
        <v/>
      </c>
      <c r="W76" s="94" t="str">
        <f t="shared" si="15"/>
        <v/>
      </c>
      <c r="X76" s="96" t="str">
        <f t="shared" si="15"/>
        <v/>
      </c>
      <c r="Y76" s="392"/>
      <c r="Z76" s="392"/>
      <c r="AA76" s="392"/>
      <c r="AB76" s="96" t="str">
        <f t="shared" si="16"/>
        <v/>
      </c>
      <c r="AC76" s="119" t="str">
        <f t="shared" si="17"/>
        <v/>
      </c>
      <c r="AD76" s="118" t="str">
        <f t="shared" si="49"/>
        <v/>
      </c>
      <c r="AE76" s="198" t="str">
        <f t="shared" si="47"/>
        <v/>
      </c>
      <c r="AF76" s="200" t="str">
        <f t="shared" si="18"/>
        <v/>
      </c>
      <c r="AG76" s="117" t="str">
        <f>IF(D76="","",VLOOKUP(F76,'9. All Habitats + Multipliers'!$C$4:$K$102,5,FALSE))</f>
        <v/>
      </c>
      <c r="AH76" s="95" t="str">
        <f>IF(AG76="","",VLOOKUP(AG76,'11. Lists'!$B$47:$D$49,2,FALSE))</f>
        <v/>
      </c>
      <c r="AI76" s="200" t="str">
        <f t="shared" si="19"/>
        <v/>
      </c>
      <c r="AJ76" s="94" t="str">
        <f>IF(AI76="","",VLOOKUP(AI76,'11. Lists'!$F$47:$G$51,2,FALSE))</f>
        <v/>
      </c>
      <c r="AK76" s="392"/>
      <c r="AL76" s="392"/>
      <c r="AM76" s="392"/>
      <c r="AN76" s="95" t="str">
        <f t="shared" si="20"/>
        <v/>
      </c>
      <c r="AO76" s="205" t="str">
        <f>IF(AN76="","",VLOOKUP(AN76,'11. Lists'!$F$36:$H$38,2,FALSE))</f>
        <v/>
      </c>
      <c r="AP76" s="95"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1"/>
        <v/>
      </c>
      <c r="BA76" s="94">
        <v>9</v>
      </c>
      <c r="BB76" s="96" t="str">
        <f t="shared" si="22"/>
        <v/>
      </c>
      <c r="BC76" s="96" t="str">
        <f t="shared" si="23"/>
        <v/>
      </c>
      <c r="BD76" s="96" t="str">
        <f t="shared" si="24"/>
        <v/>
      </c>
      <c r="BE76" s="96" t="str">
        <f t="shared" si="25"/>
        <v/>
      </c>
      <c r="BF76" s="96" t="str">
        <f t="shared" si="26"/>
        <v/>
      </c>
      <c r="BG76" s="96" t="str">
        <f t="shared" si="27"/>
        <v/>
      </c>
      <c r="BH76" s="96" t="str">
        <f t="shared" si="28"/>
        <v/>
      </c>
      <c r="BI76" s="96" t="str">
        <f t="shared" si="29"/>
        <v/>
      </c>
      <c r="BJ76" s="96" t="str">
        <f t="shared" si="30"/>
        <v/>
      </c>
      <c r="BK76" s="96" t="str">
        <f t="shared" si="31"/>
        <v/>
      </c>
      <c r="BL76" s="96" t="str">
        <f t="shared" si="32"/>
        <v/>
      </c>
      <c r="BM76" s="96" t="str">
        <f t="shared" si="33"/>
        <v/>
      </c>
      <c r="BN76" s="96" t="str">
        <f t="shared" si="34"/>
        <v/>
      </c>
      <c r="BO76" s="96" t="str">
        <f t="shared" si="35"/>
        <v/>
      </c>
      <c r="BP76" s="96" t="str">
        <f t="shared" si="36"/>
        <v/>
      </c>
      <c r="BQ76" s="96" t="str">
        <f t="shared" si="37"/>
        <v/>
      </c>
      <c r="BR76" s="96" t="str">
        <f t="shared" si="38"/>
        <v/>
      </c>
      <c r="BS76" s="96" t="str">
        <f t="shared" si="39"/>
        <v/>
      </c>
      <c r="BT76" s="96" t="str">
        <f t="shared" si="40"/>
        <v/>
      </c>
      <c r="BU76" s="95" t="str">
        <f t="shared" si="41"/>
        <v/>
      </c>
      <c r="BV76" s="205" t="str">
        <f t="shared" si="48"/>
        <v/>
      </c>
      <c r="BW76" s="96" t="s">
        <v>143</v>
      </c>
      <c r="BX76" s="96">
        <f>BJ66</f>
        <v>0</v>
      </c>
    </row>
    <row r="77" spans="1:76" s="26" customFormat="1" ht="15.75" x14ac:dyDescent="0.25">
      <c r="A77" s="90"/>
      <c r="B77" s="298">
        <v>10</v>
      </c>
      <c r="C77" s="122" t="str">
        <f t="shared" si="11"/>
        <v/>
      </c>
      <c r="D77" s="229" t="str">
        <f t="shared" si="42"/>
        <v/>
      </c>
      <c r="E77" s="176" t="str">
        <f t="shared" si="12"/>
        <v/>
      </c>
      <c r="F77" s="632"/>
      <c r="G77" s="633"/>
      <c r="H77" s="172" t="str">
        <f t="shared" si="13"/>
        <v/>
      </c>
      <c r="I77" s="367" t="str">
        <f t="shared" si="43"/>
        <v/>
      </c>
      <c r="J77" s="617" t="str">
        <f>IFERROR(IF(F77="","",VLOOKUP(F77,'10. Condition and Temporal'!$B$6:$F$103,5,FALSE)), "Error ▲")</f>
        <v/>
      </c>
      <c r="K77" s="618"/>
      <c r="L77" s="317" t="str">
        <f t="shared" si="44"/>
        <v/>
      </c>
      <c r="M77" s="609" t="str">
        <f t="shared" si="45"/>
        <v/>
      </c>
      <c r="N77" s="610"/>
      <c r="O77" s="75"/>
      <c r="P77" s="12"/>
      <c r="R77" s="664"/>
      <c r="T77" s="196" t="str">
        <f t="shared" si="14"/>
        <v/>
      </c>
      <c r="U77" s="117" t="str">
        <f t="shared" si="46"/>
        <v/>
      </c>
      <c r="V77" s="95" t="str">
        <f t="shared" si="15"/>
        <v/>
      </c>
      <c r="W77" s="94" t="str">
        <f t="shared" si="15"/>
        <v/>
      </c>
      <c r="X77" s="96" t="str">
        <f t="shared" si="15"/>
        <v/>
      </c>
      <c r="Y77" s="392"/>
      <c r="Z77" s="392"/>
      <c r="AA77" s="392"/>
      <c r="AB77" s="96" t="str">
        <f t="shared" si="16"/>
        <v/>
      </c>
      <c r="AC77" s="119" t="str">
        <f t="shared" si="17"/>
        <v/>
      </c>
      <c r="AD77" s="118" t="str">
        <f t="shared" si="49"/>
        <v/>
      </c>
      <c r="AE77" s="198" t="str">
        <f t="shared" si="47"/>
        <v/>
      </c>
      <c r="AF77" s="200" t="str">
        <f t="shared" si="18"/>
        <v/>
      </c>
      <c r="AG77" s="117" t="str">
        <f>IF(D77="","",VLOOKUP(F77,'9. All Habitats + Multipliers'!$C$4:$K$102,5,FALSE))</f>
        <v/>
      </c>
      <c r="AH77" s="95" t="str">
        <f>IF(AG77="","",VLOOKUP(AG77,'11. Lists'!$B$47:$D$49,2,FALSE))</f>
        <v/>
      </c>
      <c r="AI77" s="200" t="str">
        <f t="shared" si="19"/>
        <v/>
      </c>
      <c r="AJ77" s="94" t="str">
        <f>IF(AI77="","",VLOOKUP(AI77,'11. Lists'!$F$47:$G$51,2,FALSE))</f>
        <v/>
      </c>
      <c r="AK77" s="392"/>
      <c r="AL77" s="392"/>
      <c r="AM77" s="392"/>
      <c r="AN77" s="95" t="str">
        <f t="shared" si="20"/>
        <v/>
      </c>
      <c r="AO77" s="205" t="str">
        <f>IF(AN77="","",VLOOKUP(AN77,'11. Lists'!$F$36:$H$38,2,FALSE))</f>
        <v/>
      </c>
      <c r="AP77" s="95"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1"/>
        <v/>
      </c>
      <c r="BA77" s="94">
        <v>10</v>
      </c>
      <c r="BB77" s="96" t="str">
        <f t="shared" si="22"/>
        <v/>
      </c>
      <c r="BC77" s="96" t="str">
        <f t="shared" si="23"/>
        <v/>
      </c>
      <c r="BD77" s="96" t="str">
        <f t="shared" si="24"/>
        <v/>
      </c>
      <c r="BE77" s="96" t="str">
        <f t="shared" si="25"/>
        <v/>
      </c>
      <c r="BF77" s="96" t="str">
        <f t="shared" si="26"/>
        <v/>
      </c>
      <c r="BG77" s="96" t="str">
        <f t="shared" si="27"/>
        <v/>
      </c>
      <c r="BH77" s="96" t="str">
        <f t="shared" si="28"/>
        <v/>
      </c>
      <c r="BI77" s="96" t="str">
        <f t="shared" si="29"/>
        <v/>
      </c>
      <c r="BJ77" s="96" t="str">
        <f t="shared" si="30"/>
        <v/>
      </c>
      <c r="BK77" s="96" t="str">
        <f t="shared" si="31"/>
        <v/>
      </c>
      <c r="BL77" s="96" t="str">
        <f t="shared" si="32"/>
        <v/>
      </c>
      <c r="BM77" s="96" t="str">
        <f t="shared" si="33"/>
        <v/>
      </c>
      <c r="BN77" s="96" t="str">
        <f t="shared" si="34"/>
        <v/>
      </c>
      <c r="BO77" s="96" t="str">
        <f t="shared" si="35"/>
        <v/>
      </c>
      <c r="BP77" s="96" t="str">
        <f t="shared" si="36"/>
        <v/>
      </c>
      <c r="BQ77" s="96" t="str">
        <f t="shared" si="37"/>
        <v/>
      </c>
      <c r="BR77" s="96" t="str">
        <f t="shared" si="38"/>
        <v/>
      </c>
      <c r="BS77" s="96" t="str">
        <f t="shared" si="39"/>
        <v/>
      </c>
      <c r="BT77" s="96" t="str">
        <f t="shared" si="40"/>
        <v/>
      </c>
      <c r="BU77" s="95" t="str">
        <f t="shared" si="41"/>
        <v/>
      </c>
      <c r="BV77" s="205" t="str">
        <f t="shared" si="48"/>
        <v/>
      </c>
      <c r="BW77" s="96" t="s">
        <v>144</v>
      </c>
      <c r="BX77" s="96">
        <f>BK66</f>
        <v>0</v>
      </c>
    </row>
    <row r="78" spans="1:76" s="26" customFormat="1" ht="15.75" x14ac:dyDescent="0.25">
      <c r="A78" s="90"/>
      <c r="B78" s="298">
        <v>11</v>
      </c>
      <c r="C78" s="122" t="str">
        <f t="shared" si="11"/>
        <v/>
      </c>
      <c r="D78" s="229" t="str">
        <f t="shared" si="42"/>
        <v/>
      </c>
      <c r="E78" s="176" t="str">
        <f t="shared" si="12"/>
        <v/>
      </c>
      <c r="F78" s="632"/>
      <c r="G78" s="633"/>
      <c r="H78" s="172" t="str">
        <f t="shared" si="13"/>
        <v/>
      </c>
      <c r="I78" s="367" t="str">
        <f t="shared" si="43"/>
        <v/>
      </c>
      <c r="J78" s="617" t="str">
        <f>IFERROR(IF(F78="","",VLOOKUP(F78,'10. Condition and Temporal'!$B$6:$F$103,5,FALSE)), "Error ▲")</f>
        <v/>
      </c>
      <c r="K78" s="618"/>
      <c r="L78" s="317" t="str">
        <f t="shared" si="44"/>
        <v/>
      </c>
      <c r="M78" s="609" t="str">
        <f t="shared" si="45"/>
        <v/>
      </c>
      <c r="N78" s="610"/>
      <c r="O78" s="75"/>
      <c r="P78" s="12"/>
      <c r="R78" s="664"/>
      <c r="T78" s="196" t="str">
        <f t="shared" si="14"/>
        <v/>
      </c>
      <c r="U78" s="117" t="str">
        <f t="shared" si="46"/>
        <v/>
      </c>
      <c r="V78" s="95" t="str">
        <f t="shared" si="15"/>
        <v/>
      </c>
      <c r="W78" s="94" t="str">
        <f t="shared" si="15"/>
        <v/>
      </c>
      <c r="X78" s="96" t="str">
        <f t="shared" si="15"/>
        <v/>
      </c>
      <c r="Y78" s="392"/>
      <c r="Z78" s="392"/>
      <c r="AA78" s="392"/>
      <c r="AB78" s="96" t="str">
        <f t="shared" si="16"/>
        <v/>
      </c>
      <c r="AC78" s="119" t="str">
        <f t="shared" si="17"/>
        <v/>
      </c>
      <c r="AD78" s="118" t="str">
        <f t="shared" si="49"/>
        <v/>
      </c>
      <c r="AE78" s="198" t="str">
        <f t="shared" si="47"/>
        <v/>
      </c>
      <c r="AF78" s="200" t="str">
        <f t="shared" si="18"/>
        <v/>
      </c>
      <c r="AG78" s="117" t="str">
        <f>IF(D78="","",VLOOKUP(F78,'9. All Habitats + Multipliers'!$C$4:$K$102,5,FALSE))</f>
        <v/>
      </c>
      <c r="AH78" s="95" t="str">
        <f>IF(AG78="","",VLOOKUP(AG78,'11. Lists'!$B$47:$D$49,2,FALSE))</f>
        <v/>
      </c>
      <c r="AI78" s="200" t="str">
        <f t="shared" si="19"/>
        <v/>
      </c>
      <c r="AJ78" s="94" t="str">
        <f>IF(AI78="","",VLOOKUP(AI78,'11. Lists'!$F$47:$G$51,2,FALSE))</f>
        <v/>
      </c>
      <c r="AK78" s="392"/>
      <c r="AL78" s="392"/>
      <c r="AM78" s="392"/>
      <c r="AN78" s="95" t="str">
        <f t="shared" si="20"/>
        <v/>
      </c>
      <c r="AO78" s="205" t="str">
        <f>IF(AN78="","",VLOOKUP(AN78,'11. Lists'!$F$36:$H$38,2,FALSE))</f>
        <v/>
      </c>
      <c r="AP78" s="95"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1"/>
        <v/>
      </c>
      <c r="BA78" s="94">
        <v>11</v>
      </c>
      <c r="BB78" s="96" t="str">
        <f t="shared" si="22"/>
        <v/>
      </c>
      <c r="BC78" s="96" t="str">
        <f t="shared" si="23"/>
        <v/>
      </c>
      <c r="BD78" s="96" t="str">
        <f t="shared" si="24"/>
        <v/>
      </c>
      <c r="BE78" s="96" t="str">
        <f t="shared" si="25"/>
        <v/>
      </c>
      <c r="BF78" s="96" t="str">
        <f t="shared" si="26"/>
        <v/>
      </c>
      <c r="BG78" s="96" t="str">
        <f t="shared" si="27"/>
        <v/>
      </c>
      <c r="BH78" s="96" t="str">
        <f t="shared" si="28"/>
        <v/>
      </c>
      <c r="BI78" s="96" t="str">
        <f t="shared" si="29"/>
        <v/>
      </c>
      <c r="BJ78" s="96" t="str">
        <f t="shared" si="30"/>
        <v/>
      </c>
      <c r="BK78" s="96" t="str">
        <f t="shared" si="31"/>
        <v/>
      </c>
      <c r="BL78" s="96" t="str">
        <f t="shared" si="32"/>
        <v/>
      </c>
      <c r="BM78" s="96" t="str">
        <f t="shared" si="33"/>
        <v/>
      </c>
      <c r="BN78" s="96" t="str">
        <f t="shared" si="34"/>
        <v/>
      </c>
      <c r="BO78" s="96" t="str">
        <f t="shared" si="35"/>
        <v/>
      </c>
      <c r="BP78" s="96" t="str">
        <f t="shared" si="36"/>
        <v/>
      </c>
      <c r="BQ78" s="96" t="str">
        <f t="shared" si="37"/>
        <v/>
      </c>
      <c r="BR78" s="96" t="str">
        <f t="shared" si="38"/>
        <v/>
      </c>
      <c r="BS78" s="96" t="str">
        <f t="shared" si="39"/>
        <v/>
      </c>
      <c r="BT78" s="96" t="str">
        <f t="shared" si="40"/>
        <v/>
      </c>
      <c r="BU78" s="95" t="str">
        <f t="shared" si="41"/>
        <v/>
      </c>
      <c r="BV78" s="205" t="str">
        <f t="shared" si="48"/>
        <v/>
      </c>
      <c r="BW78" s="96" t="s">
        <v>145</v>
      </c>
      <c r="BX78" s="96">
        <f>BL66</f>
        <v>0</v>
      </c>
    </row>
    <row r="79" spans="1:76" s="26" customFormat="1" ht="15.75" x14ac:dyDescent="0.25">
      <c r="A79" s="90"/>
      <c r="B79" s="298">
        <v>12</v>
      </c>
      <c r="C79" s="122" t="str">
        <f t="shared" si="11"/>
        <v/>
      </c>
      <c r="D79" s="229" t="str">
        <f t="shared" si="42"/>
        <v/>
      </c>
      <c r="E79" s="176" t="str">
        <f t="shared" si="12"/>
        <v/>
      </c>
      <c r="F79" s="632"/>
      <c r="G79" s="633"/>
      <c r="H79" s="172" t="str">
        <f t="shared" si="13"/>
        <v/>
      </c>
      <c r="I79" s="367" t="str">
        <f t="shared" si="43"/>
        <v/>
      </c>
      <c r="J79" s="617" t="str">
        <f>IFERROR(IF(F79="","",VLOOKUP(F79,'10. Condition and Temporal'!$B$6:$F$103,5,FALSE)), "Error ▲")</f>
        <v/>
      </c>
      <c r="K79" s="618"/>
      <c r="L79" s="317" t="str">
        <f t="shared" si="44"/>
        <v/>
      </c>
      <c r="M79" s="609" t="str">
        <f t="shared" si="45"/>
        <v/>
      </c>
      <c r="N79" s="610"/>
      <c r="O79" s="75"/>
      <c r="P79" s="12"/>
      <c r="R79" s="664"/>
      <c r="T79" s="196" t="str">
        <f t="shared" si="14"/>
        <v/>
      </c>
      <c r="U79" s="117" t="str">
        <f t="shared" si="46"/>
        <v/>
      </c>
      <c r="V79" s="95" t="str">
        <f t="shared" si="15"/>
        <v/>
      </c>
      <c r="W79" s="94" t="str">
        <f t="shared" si="15"/>
        <v/>
      </c>
      <c r="X79" s="96" t="str">
        <f t="shared" si="15"/>
        <v/>
      </c>
      <c r="Y79" s="392"/>
      <c r="Z79" s="392"/>
      <c r="AA79" s="392"/>
      <c r="AB79" s="96" t="str">
        <f t="shared" si="16"/>
        <v/>
      </c>
      <c r="AC79" s="119" t="str">
        <f t="shared" si="17"/>
        <v/>
      </c>
      <c r="AD79" s="118" t="str">
        <f t="shared" si="49"/>
        <v/>
      </c>
      <c r="AE79" s="198" t="str">
        <f t="shared" si="47"/>
        <v/>
      </c>
      <c r="AF79" s="200" t="str">
        <f t="shared" si="18"/>
        <v/>
      </c>
      <c r="AG79" s="117" t="str">
        <f>IF(D79="","",VLOOKUP(F79,'9. All Habitats + Multipliers'!$C$4:$K$102,5,FALSE))</f>
        <v/>
      </c>
      <c r="AH79" s="95" t="str">
        <f>IF(AG79="","",VLOOKUP(AG79,'11. Lists'!$B$47:$D$49,2,FALSE))</f>
        <v/>
      </c>
      <c r="AI79" s="200" t="str">
        <f t="shared" si="19"/>
        <v/>
      </c>
      <c r="AJ79" s="94" t="str">
        <f>IF(AI79="","",VLOOKUP(AI79,'11. Lists'!$F$47:$G$51,2,FALSE))</f>
        <v/>
      </c>
      <c r="AK79" s="392"/>
      <c r="AL79" s="392"/>
      <c r="AM79" s="392"/>
      <c r="AN79" s="95" t="str">
        <f t="shared" si="20"/>
        <v/>
      </c>
      <c r="AO79" s="205" t="str">
        <f>IF(AN79="","",VLOOKUP(AN79,'11. Lists'!$F$36:$H$38,2,FALSE))</f>
        <v/>
      </c>
      <c r="AP79" s="95"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1"/>
        <v/>
      </c>
      <c r="BA79" s="94">
        <v>12</v>
      </c>
      <c r="BB79" s="96" t="str">
        <f t="shared" si="22"/>
        <v/>
      </c>
      <c r="BC79" s="96" t="str">
        <f t="shared" si="23"/>
        <v/>
      </c>
      <c r="BD79" s="96" t="str">
        <f t="shared" si="24"/>
        <v/>
      </c>
      <c r="BE79" s="96" t="str">
        <f t="shared" si="25"/>
        <v/>
      </c>
      <c r="BF79" s="96" t="str">
        <f t="shared" si="26"/>
        <v/>
      </c>
      <c r="BG79" s="96" t="str">
        <f t="shared" si="27"/>
        <v/>
      </c>
      <c r="BH79" s="96" t="str">
        <f t="shared" si="28"/>
        <v/>
      </c>
      <c r="BI79" s="96" t="str">
        <f t="shared" si="29"/>
        <v/>
      </c>
      <c r="BJ79" s="96" t="str">
        <f t="shared" si="30"/>
        <v/>
      </c>
      <c r="BK79" s="96" t="str">
        <f t="shared" si="31"/>
        <v/>
      </c>
      <c r="BL79" s="96" t="str">
        <f t="shared" si="32"/>
        <v/>
      </c>
      <c r="BM79" s="96" t="str">
        <f t="shared" si="33"/>
        <v/>
      </c>
      <c r="BN79" s="96" t="str">
        <f t="shared" si="34"/>
        <v/>
      </c>
      <c r="BO79" s="96" t="str">
        <f t="shared" si="35"/>
        <v/>
      </c>
      <c r="BP79" s="96" t="str">
        <f t="shared" si="36"/>
        <v/>
      </c>
      <c r="BQ79" s="96" t="str">
        <f t="shared" si="37"/>
        <v/>
      </c>
      <c r="BR79" s="96" t="str">
        <f t="shared" si="38"/>
        <v/>
      </c>
      <c r="BS79" s="96" t="str">
        <f t="shared" si="39"/>
        <v/>
      </c>
      <c r="BT79" s="96" t="str">
        <f t="shared" si="40"/>
        <v/>
      </c>
      <c r="BU79" s="95" t="str">
        <f t="shared" si="41"/>
        <v/>
      </c>
      <c r="BV79" s="205" t="str">
        <f t="shared" si="48"/>
        <v/>
      </c>
      <c r="BW79" s="96" t="s">
        <v>146</v>
      </c>
      <c r="BX79" s="96">
        <f>BM66</f>
        <v>0</v>
      </c>
    </row>
    <row r="80" spans="1:76" s="26" customFormat="1" ht="15.75" x14ac:dyDescent="0.25">
      <c r="A80" s="90"/>
      <c r="B80" s="298">
        <v>13</v>
      </c>
      <c r="C80" s="122" t="str">
        <f t="shared" si="11"/>
        <v/>
      </c>
      <c r="D80" s="229" t="str">
        <f t="shared" si="42"/>
        <v/>
      </c>
      <c r="E80" s="176" t="str">
        <f t="shared" si="12"/>
        <v/>
      </c>
      <c r="F80" s="632"/>
      <c r="G80" s="633"/>
      <c r="H80" s="172" t="str">
        <f t="shared" si="13"/>
        <v/>
      </c>
      <c r="I80" s="367" t="str">
        <f t="shared" si="43"/>
        <v/>
      </c>
      <c r="J80" s="617" t="str">
        <f>IFERROR(IF(F80="","",VLOOKUP(F80,'10. Condition and Temporal'!$B$6:$F$103,5,FALSE)), "Error ▲")</f>
        <v/>
      </c>
      <c r="K80" s="618"/>
      <c r="L80" s="317" t="str">
        <f t="shared" si="44"/>
        <v/>
      </c>
      <c r="M80" s="609" t="str">
        <f t="shared" si="45"/>
        <v/>
      </c>
      <c r="N80" s="610"/>
      <c r="O80" s="75"/>
      <c r="P80" s="12"/>
      <c r="R80" s="664"/>
      <c r="T80" s="196" t="str">
        <f t="shared" si="14"/>
        <v/>
      </c>
      <c r="U80" s="117" t="str">
        <f t="shared" si="46"/>
        <v/>
      </c>
      <c r="V80" s="95" t="str">
        <f t="shared" si="15"/>
        <v/>
      </c>
      <c r="W80" s="94" t="str">
        <f t="shared" si="15"/>
        <v/>
      </c>
      <c r="X80" s="96" t="str">
        <f t="shared" si="15"/>
        <v/>
      </c>
      <c r="Y80" s="392"/>
      <c r="Z80" s="392"/>
      <c r="AA80" s="392"/>
      <c r="AB80" s="96" t="str">
        <f t="shared" si="16"/>
        <v/>
      </c>
      <c r="AC80" s="119" t="str">
        <f t="shared" si="17"/>
        <v/>
      </c>
      <c r="AD80" s="118" t="str">
        <f t="shared" si="49"/>
        <v/>
      </c>
      <c r="AE80" s="198" t="str">
        <f t="shared" si="47"/>
        <v/>
      </c>
      <c r="AF80" s="200" t="str">
        <f t="shared" si="18"/>
        <v/>
      </c>
      <c r="AG80" s="117" t="str">
        <f>IF(D80="","",VLOOKUP(F80,'9. All Habitats + Multipliers'!$C$4:$K$102,5,FALSE))</f>
        <v/>
      </c>
      <c r="AH80" s="95" t="str">
        <f>IF(AG80="","",VLOOKUP(AG80,'11. Lists'!$B$47:$D$49,2,FALSE))</f>
        <v/>
      </c>
      <c r="AI80" s="200" t="str">
        <f t="shared" si="19"/>
        <v/>
      </c>
      <c r="AJ80" s="94" t="str">
        <f>IF(AI80="","",VLOOKUP(AI80,'11. Lists'!$F$47:$G$51,2,FALSE))</f>
        <v/>
      </c>
      <c r="AK80" s="392"/>
      <c r="AL80" s="392"/>
      <c r="AM80" s="392"/>
      <c r="AN80" s="95" t="str">
        <f t="shared" si="20"/>
        <v/>
      </c>
      <c r="AO80" s="205" t="str">
        <f>IF(AN80="","",VLOOKUP(AN80,'11. Lists'!$F$36:$H$38,2,FALSE))</f>
        <v/>
      </c>
      <c r="AP80" s="95"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1"/>
        <v/>
      </c>
      <c r="BA80" s="94">
        <v>13</v>
      </c>
      <c r="BB80" s="96" t="str">
        <f t="shared" si="22"/>
        <v/>
      </c>
      <c r="BC80" s="96" t="str">
        <f t="shared" si="23"/>
        <v/>
      </c>
      <c r="BD80" s="96" t="str">
        <f t="shared" si="24"/>
        <v/>
      </c>
      <c r="BE80" s="96" t="str">
        <f t="shared" si="25"/>
        <v/>
      </c>
      <c r="BF80" s="96" t="str">
        <f t="shared" si="26"/>
        <v/>
      </c>
      <c r="BG80" s="96" t="str">
        <f t="shared" si="27"/>
        <v/>
      </c>
      <c r="BH80" s="96" t="str">
        <f t="shared" si="28"/>
        <v/>
      </c>
      <c r="BI80" s="96" t="str">
        <f t="shared" si="29"/>
        <v/>
      </c>
      <c r="BJ80" s="96" t="str">
        <f t="shared" si="30"/>
        <v/>
      </c>
      <c r="BK80" s="96" t="str">
        <f t="shared" si="31"/>
        <v/>
      </c>
      <c r="BL80" s="96" t="str">
        <f t="shared" si="32"/>
        <v/>
      </c>
      <c r="BM80" s="96" t="str">
        <f t="shared" si="33"/>
        <v/>
      </c>
      <c r="BN80" s="96" t="str">
        <f t="shared" si="34"/>
        <v/>
      </c>
      <c r="BO80" s="96" t="str">
        <f t="shared" si="35"/>
        <v/>
      </c>
      <c r="BP80" s="96" t="str">
        <f t="shared" si="36"/>
        <v/>
      </c>
      <c r="BQ80" s="96" t="str">
        <f t="shared" si="37"/>
        <v/>
      </c>
      <c r="BR80" s="96" t="str">
        <f t="shared" si="38"/>
        <v/>
      </c>
      <c r="BS80" s="96" t="str">
        <f t="shared" si="39"/>
        <v/>
      </c>
      <c r="BT80" s="96" t="str">
        <f t="shared" si="40"/>
        <v/>
      </c>
      <c r="BU80" s="95" t="str">
        <f t="shared" si="41"/>
        <v/>
      </c>
      <c r="BV80" s="205" t="str">
        <f t="shared" si="48"/>
        <v/>
      </c>
      <c r="BW80" s="96" t="s">
        <v>147</v>
      </c>
      <c r="BX80" s="96">
        <f>BN66</f>
        <v>0</v>
      </c>
    </row>
    <row r="81" spans="1:76" s="26" customFormat="1" ht="15.75" x14ac:dyDescent="0.25">
      <c r="A81" s="90"/>
      <c r="B81" s="298">
        <v>14</v>
      </c>
      <c r="C81" s="122" t="str">
        <f t="shared" si="11"/>
        <v/>
      </c>
      <c r="D81" s="229" t="str">
        <f t="shared" si="42"/>
        <v/>
      </c>
      <c r="E81" s="176" t="str">
        <f t="shared" si="12"/>
        <v/>
      </c>
      <c r="F81" s="632"/>
      <c r="G81" s="633"/>
      <c r="H81" s="172" t="str">
        <f t="shared" si="13"/>
        <v/>
      </c>
      <c r="I81" s="367" t="str">
        <f t="shared" si="43"/>
        <v/>
      </c>
      <c r="J81" s="617" t="str">
        <f>IFERROR(IF(F81="","",VLOOKUP(F81,'10. Condition and Temporal'!$B$6:$F$103,5,FALSE)), "Error ▲")</f>
        <v/>
      </c>
      <c r="K81" s="618"/>
      <c r="L81" s="317" t="str">
        <f t="shared" si="44"/>
        <v/>
      </c>
      <c r="M81" s="609" t="str">
        <f t="shared" si="45"/>
        <v/>
      </c>
      <c r="N81" s="610"/>
      <c r="O81" s="75"/>
      <c r="P81" s="12"/>
      <c r="R81" s="664"/>
      <c r="T81" s="196" t="str">
        <f t="shared" si="14"/>
        <v/>
      </c>
      <c r="U81" s="117" t="str">
        <f t="shared" si="46"/>
        <v/>
      </c>
      <c r="V81" s="95" t="str">
        <f t="shared" si="15"/>
        <v/>
      </c>
      <c r="W81" s="94" t="str">
        <f t="shared" si="15"/>
        <v/>
      </c>
      <c r="X81" s="96" t="str">
        <f t="shared" si="15"/>
        <v/>
      </c>
      <c r="Y81" s="392"/>
      <c r="Z81" s="392"/>
      <c r="AA81" s="392"/>
      <c r="AB81" s="96" t="str">
        <f t="shared" si="16"/>
        <v/>
      </c>
      <c r="AC81" s="119" t="str">
        <f t="shared" si="17"/>
        <v/>
      </c>
      <c r="AD81" s="118" t="str">
        <f t="shared" si="49"/>
        <v/>
      </c>
      <c r="AE81" s="198" t="str">
        <f t="shared" si="47"/>
        <v/>
      </c>
      <c r="AF81" s="200" t="str">
        <f t="shared" si="18"/>
        <v/>
      </c>
      <c r="AG81" s="117" t="str">
        <f>IF(D81="","",VLOOKUP(F81,'9. All Habitats + Multipliers'!$C$4:$K$102,5,FALSE))</f>
        <v/>
      </c>
      <c r="AH81" s="95" t="str">
        <f>IF(AG81="","",VLOOKUP(AG81,'11. Lists'!$B$47:$D$49,2,FALSE))</f>
        <v/>
      </c>
      <c r="AI81" s="200" t="str">
        <f t="shared" si="19"/>
        <v/>
      </c>
      <c r="AJ81" s="94" t="str">
        <f>IF(AI81="","",VLOOKUP(AI81,'11. Lists'!$F$47:$G$51,2,FALSE))</f>
        <v/>
      </c>
      <c r="AK81" s="392"/>
      <c r="AL81" s="392"/>
      <c r="AM81" s="392"/>
      <c r="AN81" s="95" t="str">
        <f t="shared" si="20"/>
        <v/>
      </c>
      <c r="AO81" s="205" t="str">
        <f>IF(AN81="","",VLOOKUP(AN81,'11. Lists'!$F$36:$H$38,2,FALSE))</f>
        <v/>
      </c>
      <c r="AP81" s="95"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1"/>
        <v/>
      </c>
      <c r="BA81" s="94">
        <v>14</v>
      </c>
      <c r="BB81" s="96" t="str">
        <f t="shared" si="22"/>
        <v/>
      </c>
      <c r="BC81" s="96" t="str">
        <f t="shared" si="23"/>
        <v/>
      </c>
      <c r="BD81" s="96" t="str">
        <f t="shared" si="24"/>
        <v/>
      </c>
      <c r="BE81" s="96" t="str">
        <f t="shared" si="25"/>
        <v/>
      </c>
      <c r="BF81" s="96" t="str">
        <f t="shared" si="26"/>
        <v/>
      </c>
      <c r="BG81" s="96" t="str">
        <f t="shared" si="27"/>
        <v/>
      </c>
      <c r="BH81" s="96" t="str">
        <f t="shared" si="28"/>
        <v/>
      </c>
      <c r="BI81" s="96" t="str">
        <f t="shared" si="29"/>
        <v/>
      </c>
      <c r="BJ81" s="96" t="str">
        <f t="shared" si="30"/>
        <v/>
      </c>
      <c r="BK81" s="96" t="str">
        <f t="shared" si="31"/>
        <v/>
      </c>
      <c r="BL81" s="96" t="str">
        <f t="shared" si="32"/>
        <v/>
      </c>
      <c r="BM81" s="96" t="str">
        <f t="shared" si="33"/>
        <v/>
      </c>
      <c r="BN81" s="96" t="str">
        <f t="shared" si="34"/>
        <v/>
      </c>
      <c r="BO81" s="96" t="str">
        <f t="shared" si="35"/>
        <v/>
      </c>
      <c r="BP81" s="96" t="str">
        <f t="shared" si="36"/>
        <v/>
      </c>
      <c r="BQ81" s="96" t="str">
        <f t="shared" si="37"/>
        <v/>
      </c>
      <c r="BR81" s="96" t="str">
        <f t="shared" si="38"/>
        <v/>
      </c>
      <c r="BS81" s="96" t="str">
        <f t="shared" si="39"/>
        <v/>
      </c>
      <c r="BT81" s="96" t="str">
        <f t="shared" si="40"/>
        <v/>
      </c>
      <c r="BU81" s="95" t="str">
        <f t="shared" si="41"/>
        <v/>
      </c>
      <c r="BV81" s="205" t="str">
        <f t="shared" si="48"/>
        <v/>
      </c>
      <c r="BW81" s="96" t="s">
        <v>148</v>
      </c>
      <c r="BX81" s="96">
        <f>BO66</f>
        <v>0</v>
      </c>
    </row>
    <row r="82" spans="1:76" s="26" customFormat="1" ht="15.75" x14ac:dyDescent="0.25">
      <c r="A82" s="90"/>
      <c r="B82" s="298">
        <v>15</v>
      </c>
      <c r="C82" s="122" t="str">
        <f t="shared" si="11"/>
        <v/>
      </c>
      <c r="D82" s="229" t="str">
        <f t="shared" si="42"/>
        <v/>
      </c>
      <c r="E82" s="176" t="str">
        <f t="shared" si="12"/>
        <v/>
      </c>
      <c r="F82" s="632"/>
      <c r="G82" s="633"/>
      <c r="H82" s="172" t="str">
        <f t="shared" si="13"/>
        <v/>
      </c>
      <c r="I82" s="367" t="str">
        <f t="shared" si="43"/>
        <v/>
      </c>
      <c r="J82" s="617" t="str">
        <f>IFERROR(IF(F82="","",VLOOKUP(F82,'10. Condition and Temporal'!$B$6:$F$103,5,FALSE)), "Error ▲")</f>
        <v/>
      </c>
      <c r="K82" s="618"/>
      <c r="L82" s="317" t="str">
        <f t="shared" si="44"/>
        <v/>
      </c>
      <c r="M82" s="609" t="str">
        <f t="shared" si="45"/>
        <v/>
      </c>
      <c r="N82" s="610"/>
      <c r="O82" s="75"/>
      <c r="P82" s="12"/>
      <c r="R82" s="664"/>
      <c r="T82" s="196" t="str">
        <f t="shared" si="14"/>
        <v/>
      </c>
      <c r="U82" s="117" t="str">
        <f t="shared" si="46"/>
        <v/>
      </c>
      <c r="V82" s="95" t="str">
        <f t="shared" si="15"/>
        <v/>
      </c>
      <c r="W82" s="94" t="str">
        <f t="shared" si="15"/>
        <v/>
      </c>
      <c r="X82" s="96" t="str">
        <f t="shared" si="15"/>
        <v/>
      </c>
      <c r="Y82" s="392"/>
      <c r="Z82" s="392"/>
      <c r="AA82" s="392"/>
      <c r="AB82" s="96" t="str">
        <f t="shared" si="16"/>
        <v/>
      </c>
      <c r="AC82" s="119" t="str">
        <f t="shared" si="17"/>
        <v/>
      </c>
      <c r="AD82" s="118" t="str">
        <f t="shared" si="49"/>
        <v/>
      </c>
      <c r="AE82" s="198" t="str">
        <f t="shared" si="47"/>
        <v/>
      </c>
      <c r="AF82" s="200" t="str">
        <f t="shared" si="18"/>
        <v/>
      </c>
      <c r="AG82" s="117" t="str">
        <f>IF(D82="","",VLOOKUP(F82,'9. All Habitats + Multipliers'!$C$4:$K$102,5,FALSE))</f>
        <v/>
      </c>
      <c r="AH82" s="95" t="str">
        <f>IF(AG82="","",VLOOKUP(AG82,'11. Lists'!$B$47:$D$49,2,FALSE))</f>
        <v/>
      </c>
      <c r="AI82" s="200" t="str">
        <f t="shared" si="19"/>
        <v/>
      </c>
      <c r="AJ82" s="94" t="str">
        <f>IF(AI82="","",VLOOKUP(AI82,'11. Lists'!$F$47:$G$51,2,FALSE))</f>
        <v/>
      </c>
      <c r="AK82" s="392"/>
      <c r="AL82" s="392"/>
      <c r="AM82" s="392"/>
      <c r="AN82" s="95" t="str">
        <f t="shared" si="20"/>
        <v/>
      </c>
      <c r="AO82" s="205" t="str">
        <f>IF(AN82="","",VLOOKUP(AN82,'11. Lists'!$F$36:$H$38,2,FALSE))</f>
        <v/>
      </c>
      <c r="AP82" s="95"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1"/>
        <v/>
      </c>
      <c r="BA82" s="94">
        <v>15</v>
      </c>
      <c r="BB82" s="96" t="str">
        <f t="shared" si="22"/>
        <v/>
      </c>
      <c r="BC82" s="96" t="str">
        <f t="shared" si="23"/>
        <v/>
      </c>
      <c r="BD82" s="96" t="str">
        <f t="shared" si="24"/>
        <v/>
      </c>
      <c r="BE82" s="96" t="str">
        <f t="shared" si="25"/>
        <v/>
      </c>
      <c r="BF82" s="96" t="str">
        <f t="shared" si="26"/>
        <v/>
      </c>
      <c r="BG82" s="96" t="str">
        <f t="shared" si="27"/>
        <v/>
      </c>
      <c r="BH82" s="96" t="str">
        <f t="shared" si="28"/>
        <v/>
      </c>
      <c r="BI82" s="96" t="str">
        <f t="shared" si="29"/>
        <v/>
      </c>
      <c r="BJ82" s="96" t="str">
        <f t="shared" si="30"/>
        <v/>
      </c>
      <c r="BK82" s="96" t="str">
        <f t="shared" si="31"/>
        <v/>
      </c>
      <c r="BL82" s="96" t="str">
        <f t="shared" si="32"/>
        <v/>
      </c>
      <c r="BM82" s="96" t="str">
        <f t="shared" si="33"/>
        <v/>
      </c>
      <c r="BN82" s="96" t="str">
        <f t="shared" si="34"/>
        <v/>
      </c>
      <c r="BO82" s="96" t="str">
        <f t="shared" si="35"/>
        <v/>
      </c>
      <c r="BP82" s="96" t="str">
        <f t="shared" si="36"/>
        <v/>
      </c>
      <c r="BQ82" s="96" t="str">
        <f t="shared" si="37"/>
        <v/>
      </c>
      <c r="BR82" s="96" t="str">
        <f t="shared" si="38"/>
        <v/>
      </c>
      <c r="BS82" s="96" t="str">
        <f t="shared" si="39"/>
        <v/>
      </c>
      <c r="BT82" s="96" t="str">
        <f t="shared" si="40"/>
        <v/>
      </c>
      <c r="BU82" s="95" t="str">
        <f t="shared" si="41"/>
        <v/>
      </c>
      <c r="BV82" s="205" t="str">
        <f t="shared" si="48"/>
        <v/>
      </c>
      <c r="BW82" s="96" t="s">
        <v>149</v>
      </c>
      <c r="BX82" s="96">
        <f>BP66</f>
        <v>0</v>
      </c>
    </row>
    <row r="83" spans="1:76" s="26" customFormat="1" ht="15.75" x14ac:dyDescent="0.25">
      <c r="A83" s="90"/>
      <c r="B83" s="298">
        <v>16</v>
      </c>
      <c r="C83" s="122" t="str">
        <f t="shared" si="11"/>
        <v/>
      </c>
      <c r="D83" s="229" t="str">
        <f t="shared" si="42"/>
        <v/>
      </c>
      <c r="E83" s="176" t="str">
        <f t="shared" si="12"/>
        <v/>
      </c>
      <c r="F83" s="632"/>
      <c r="G83" s="633"/>
      <c r="H83" s="172" t="str">
        <f t="shared" si="13"/>
        <v/>
      </c>
      <c r="I83" s="367" t="str">
        <f t="shared" si="43"/>
        <v/>
      </c>
      <c r="J83" s="617" t="str">
        <f>IFERROR(IF(F83="","",VLOOKUP(F83,'10. Condition and Temporal'!$B$6:$F$103,5,FALSE)), "Error ▲")</f>
        <v/>
      </c>
      <c r="K83" s="618"/>
      <c r="L83" s="317" t="str">
        <f t="shared" si="44"/>
        <v/>
      </c>
      <c r="M83" s="609" t="str">
        <f t="shared" si="45"/>
        <v/>
      </c>
      <c r="N83" s="610"/>
      <c r="O83" s="75"/>
      <c r="P83" s="12"/>
      <c r="R83" s="664"/>
      <c r="T83" s="196" t="str">
        <f t="shared" si="14"/>
        <v/>
      </c>
      <c r="U83" s="117" t="str">
        <f t="shared" si="46"/>
        <v/>
      </c>
      <c r="V83" s="95" t="str">
        <f t="shared" si="15"/>
        <v/>
      </c>
      <c r="W83" s="94" t="str">
        <f t="shared" si="15"/>
        <v/>
      </c>
      <c r="X83" s="96" t="str">
        <f t="shared" si="15"/>
        <v/>
      </c>
      <c r="Y83" s="392"/>
      <c r="Z83" s="392"/>
      <c r="AA83" s="392"/>
      <c r="AB83" s="96" t="str">
        <f t="shared" si="16"/>
        <v/>
      </c>
      <c r="AC83" s="119" t="str">
        <f t="shared" si="17"/>
        <v/>
      </c>
      <c r="AD83" s="118" t="str">
        <f t="shared" si="49"/>
        <v/>
      </c>
      <c r="AE83" s="198" t="str">
        <f t="shared" si="47"/>
        <v/>
      </c>
      <c r="AF83" s="200" t="str">
        <f t="shared" si="18"/>
        <v/>
      </c>
      <c r="AG83" s="117" t="str">
        <f>IF(D83="","",VLOOKUP(F83,'9. All Habitats + Multipliers'!$C$4:$K$102,5,FALSE))</f>
        <v/>
      </c>
      <c r="AH83" s="95" t="str">
        <f>IF(AG83="","",VLOOKUP(AG83,'11. Lists'!$B$47:$D$49,2,FALSE))</f>
        <v/>
      </c>
      <c r="AI83" s="200" t="str">
        <f t="shared" si="19"/>
        <v/>
      </c>
      <c r="AJ83" s="94" t="str">
        <f>IF(AI83="","",VLOOKUP(AI83,'11. Lists'!$F$47:$G$51,2,FALSE))</f>
        <v/>
      </c>
      <c r="AK83" s="392"/>
      <c r="AL83" s="392"/>
      <c r="AM83" s="392"/>
      <c r="AN83" s="95" t="str">
        <f t="shared" si="20"/>
        <v/>
      </c>
      <c r="AO83" s="205" t="str">
        <f>IF(AN83="","",VLOOKUP(AN83,'11. Lists'!$F$36:$H$38,2,FALSE))</f>
        <v/>
      </c>
      <c r="AP83" s="95"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1"/>
        <v/>
      </c>
      <c r="BA83" s="94">
        <v>16</v>
      </c>
      <c r="BB83" s="96" t="str">
        <f t="shared" si="22"/>
        <v/>
      </c>
      <c r="BC83" s="96" t="str">
        <f t="shared" si="23"/>
        <v/>
      </c>
      <c r="BD83" s="96" t="str">
        <f t="shared" si="24"/>
        <v/>
      </c>
      <c r="BE83" s="96" t="str">
        <f t="shared" si="25"/>
        <v/>
      </c>
      <c r="BF83" s="96" t="str">
        <f t="shared" si="26"/>
        <v/>
      </c>
      <c r="BG83" s="96" t="str">
        <f t="shared" si="27"/>
        <v/>
      </c>
      <c r="BH83" s="96" t="str">
        <f t="shared" si="28"/>
        <v/>
      </c>
      <c r="BI83" s="96" t="str">
        <f t="shared" si="29"/>
        <v/>
      </c>
      <c r="BJ83" s="96" t="str">
        <f t="shared" si="30"/>
        <v/>
      </c>
      <c r="BK83" s="96" t="str">
        <f t="shared" si="31"/>
        <v/>
      </c>
      <c r="BL83" s="96" t="str">
        <f t="shared" si="32"/>
        <v/>
      </c>
      <c r="BM83" s="96" t="str">
        <f t="shared" si="33"/>
        <v/>
      </c>
      <c r="BN83" s="96" t="str">
        <f t="shared" si="34"/>
        <v/>
      </c>
      <c r="BO83" s="96" t="str">
        <f t="shared" si="35"/>
        <v/>
      </c>
      <c r="BP83" s="96" t="str">
        <f t="shared" si="36"/>
        <v/>
      </c>
      <c r="BQ83" s="96" t="str">
        <f t="shared" si="37"/>
        <v/>
      </c>
      <c r="BR83" s="96" t="str">
        <f t="shared" si="38"/>
        <v/>
      </c>
      <c r="BS83" s="96" t="str">
        <f t="shared" si="39"/>
        <v/>
      </c>
      <c r="BT83" s="96" t="str">
        <f t="shared" si="40"/>
        <v/>
      </c>
      <c r="BU83" s="95" t="str">
        <f t="shared" si="41"/>
        <v/>
      </c>
      <c r="BV83" s="205" t="str">
        <f t="shared" si="48"/>
        <v/>
      </c>
      <c r="BW83" s="96" t="s">
        <v>150</v>
      </c>
      <c r="BX83" s="96">
        <f>BQ66</f>
        <v>0</v>
      </c>
    </row>
    <row r="84" spans="1:76" s="26" customFormat="1" ht="15.75" x14ac:dyDescent="0.25">
      <c r="A84" s="90"/>
      <c r="B84" s="298">
        <v>17</v>
      </c>
      <c r="C84" s="122" t="str">
        <f t="shared" si="11"/>
        <v/>
      </c>
      <c r="D84" s="229" t="str">
        <f t="shared" si="42"/>
        <v/>
      </c>
      <c r="E84" s="176" t="str">
        <f t="shared" si="12"/>
        <v/>
      </c>
      <c r="F84" s="632"/>
      <c r="G84" s="633"/>
      <c r="H84" s="172" t="str">
        <f t="shared" si="13"/>
        <v/>
      </c>
      <c r="I84" s="367" t="str">
        <f t="shared" si="43"/>
        <v/>
      </c>
      <c r="J84" s="617" t="str">
        <f>IFERROR(IF(F84="","",VLOOKUP(F84,'10. Condition and Temporal'!$B$6:$F$103,5,FALSE)), "Error ▲")</f>
        <v/>
      </c>
      <c r="K84" s="618"/>
      <c r="L84" s="317" t="str">
        <f t="shared" si="44"/>
        <v/>
      </c>
      <c r="M84" s="609" t="str">
        <f t="shared" si="45"/>
        <v/>
      </c>
      <c r="N84" s="610"/>
      <c r="O84" s="75"/>
      <c r="P84" s="12"/>
      <c r="R84" s="664"/>
      <c r="T84" s="196" t="str">
        <f t="shared" si="14"/>
        <v/>
      </c>
      <c r="U84" s="117" t="str">
        <f t="shared" si="46"/>
        <v/>
      </c>
      <c r="V84" s="95" t="str">
        <f t="shared" si="15"/>
        <v/>
      </c>
      <c r="W84" s="94" t="str">
        <f t="shared" si="15"/>
        <v/>
      </c>
      <c r="X84" s="96" t="str">
        <f t="shared" si="15"/>
        <v/>
      </c>
      <c r="Y84" s="392"/>
      <c r="Z84" s="392"/>
      <c r="AA84" s="392"/>
      <c r="AB84" s="96" t="str">
        <f t="shared" si="16"/>
        <v/>
      </c>
      <c r="AC84" s="119" t="str">
        <f t="shared" si="17"/>
        <v/>
      </c>
      <c r="AD84" s="118" t="str">
        <f t="shared" si="49"/>
        <v/>
      </c>
      <c r="AE84" s="198" t="str">
        <f t="shared" si="47"/>
        <v/>
      </c>
      <c r="AF84" s="200" t="str">
        <f t="shared" si="18"/>
        <v/>
      </c>
      <c r="AG84" s="117" t="str">
        <f>IF(D84="","",VLOOKUP(F84,'9. All Habitats + Multipliers'!$C$4:$K$102,5,FALSE))</f>
        <v/>
      </c>
      <c r="AH84" s="95" t="str">
        <f>IF(AG84="","",VLOOKUP(AG84,'11. Lists'!$B$47:$D$49,2,FALSE))</f>
        <v/>
      </c>
      <c r="AI84" s="200" t="str">
        <f t="shared" si="19"/>
        <v/>
      </c>
      <c r="AJ84" s="94" t="str">
        <f>IF(AI84="","",VLOOKUP(AI84,'11. Lists'!$F$47:$G$51,2,FALSE))</f>
        <v/>
      </c>
      <c r="AK84" s="392"/>
      <c r="AL84" s="392"/>
      <c r="AM84" s="392"/>
      <c r="AN84" s="95" t="str">
        <f t="shared" si="20"/>
        <v/>
      </c>
      <c r="AO84" s="205" t="str">
        <f>IF(AN84="","",VLOOKUP(AN84,'11. Lists'!$F$36:$H$38,2,FALSE))</f>
        <v/>
      </c>
      <c r="AP84" s="95"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1"/>
        <v/>
      </c>
      <c r="BA84" s="94">
        <v>17</v>
      </c>
      <c r="BB84" s="96" t="str">
        <f t="shared" si="22"/>
        <v/>
      </c>
      <c r="BC84" s="96" t="str">
        <f t="shared" si="23"/>
        <v/>
      </c>
      <c r="BD84" s="96" t="str">
        <f t="shared" si="24"/>
        <v/>
      </c>
      <c r="BE84" s="96" t="str">
        <f t="shared" si="25"/>
        <v/>
      </c>
      <c r="BF84" s="96" t="str">
        <f t="shared" si="26"/>
        <v/>
      </c>
      <c r="BG84" s="96" t="str">
        <f t="shared" si="27"/>
        <v/>
      </c>
      <c r="BH84" s="96" t="str">
        <f t="shared" si="28"/>
        <v/>
      </c>
      <c r="BI84" s="96" t="str">
        <f t="shared" si="29"/>
        <v/>
      </c>
      <c r="BJ84" s="96" t="str">
        <f t="shared" si="30"/>
        <v/>
      </c>
      <c r="BK84" s="96" t="str">
        <f t="shared" si="31"/>
        <v/>
      </c>
      <c r="BL84" s="96" t="str">
        <f t="shared" si="32"/>
        <v/>
      </c>
      <c r="BM84" s="96" t="str">
        <f t="shared" si="33"/>
        <v/>
      </c>
      <c r="BN84" s="96" t="str">
        <f t="shared" si="34"/>
        <v/>
      </c>
      <c r="BO84" s="96" t="str">
        <f t="shared" si="35"/>
        <v/>
      </c>
      <c r="BP84" s="96" t="str">
        <f t="shared" si="36"/>
        <v/>
      </c>
      <c r="BQ84" s="96" t="str">
        <f t="shared" si="37"/>
        <v/>
      </c>
      <c r="BR84" s="96" t="str">
        <f t="shared" si="38"/>
        <v/>
      </c>
      <c r="BS84" s="96" t="str">
        <f t="shared" si="39"/>
        <v/>
      </c>
      <c r="BT84" s="96" t="str">
        <f t="shared" si="40"/>
        <v/>
      </c>
      <c r="BU84" s="95" t="str">
        <f t="shared" si="41"/>
        <v/>
      </c>
      <c r="BV84" s="205" t="str">
        <f t="shared" si="48"/>
        <v/>
      </c>
      <c r="BW84" s="96" t="s">
        <v>151</v>
      </c>
      <c r="BX84" s="96">
        <f>BR66</f>
        <v>0</v>
      </c>
    </row>
    <row r="85" spans="1:76" s="26" customFormat="1" ht="15.75" x14ac:dyDescent="0.25">
      <c r="A85" s="90"/>
      <c r="B85" s="298">
        <v>18</v>
      </c>
      <c r="C85" s="122" t="str">
        <f t="shared" si="11"/>
        <v/>
      </c>
      <c r="D85" s="229" t="str">
        <f t="shared" si="42"/>
        <v/>
      </c>
      <c r="E85" s="176" t="str">
        <f t="shared" si="12"/>
        <v/>
      </c>
      <c r="F85" s="632"/>
      <c r="G85" s="633"/>
      <c r="H85" s="172" t="str">
        <f t="shared" si="13"/>
        <v/>
      </c>
      <c r="I85" s="367" t="str">
        <f t="shared" si="43"/>
        <v/>
      </c>
      <c r="J85" s="617" t="str">
        <f>IFERROR(IF(F85="","",VLOOKUP(F85,'10. Condition and Temporal'!$B$6:$F$103,5,FALSE)), "Error ▲")</f>
        <v/>
      </c>
      <c r="K85" s="618"/>
      <c r="L85" s="317" t="str">
        <f t="shared" si="44"/>
        <v/>
      </c>
      <c r="M85" s="609" t="str">
        <f t="shared" si="45"/>
        <v/>
      </c>
      <c r="N85" s="610"/>
      <c r="O85" s="75"/>
      <c r="P85" s="12"/>
      <c r="R85" s="664"/>
      <c r="T85" s="196" t="str">
        <f t="shared" si="14"/>
        <v/>
      </c>
      <c r="U85" s="117" t="str">
        <f t="shared" si="46"/>
        <v/>
      </c>
      <c r="V85" s="95" t="str">
        <f t="shared" si="15"/>
        <v/>
      </c>
      <c r="W85" s="94" t="str">
        <f t="shared" si="15"/>
        <v/>
      </c>
      <c r="X85" s="96" t="str">
        <f t="shared" si="15"/>
        <v/>
      </c>
      <c r="Y85" s="392"/>
      <c r="Z85" s="392"/>
      <c r="AA85" s="392"/>
      <c r="AB85" s="96" t="str">
        <f t="shared" si="16"/>
        <v/>
      </c>
      <c r="AC85" s="119" t="str">
        <f t="shared" si="17"/>
        <v/>
      </c>
      <c r="AD85" s="118" t="str">
        <f t="shared" si="49"/>
        <v/>
      </c>
      <c r="AE85" s="198" t="str">
        <f t="shared" si="47"/>
        <v/>
      </c>
      <c r="AF85" s="200" t="str">
        <f t="shared" si="18"/>
        <v/>
      </c>
      <c r="AG85" s="117" t="str">
        <f>IF(D85="","",VLOOKUP(F85,'9. All Habitats + Multipliers'!$C$4:$K$102,5,FALSE))</f>
        <v/>
      </c>
      <c r="AH85" s="95" t="str">
        <f>IF(AG85="","",VLOOKUP(AG85,'11. Lists'!$B$47:$D$49,2,FALSE))</f>
        <v/>
      </c>
      <c r="AI85" s="200" t="str">
        <f t="shared" si="19"/>
        <v/>
      </c>
      <c r="AJ85" s="94" t="str">
        <f>IF(AI85="","",VLOOKUP(AI85,'11. Lists'!$F$47:$G$51,2,FALSE))</f>
        <v/>
      </c>
      <c r="AK85" s="392"/>
      <c r="AL85" s="392"/>
      <c r="AM85" s="392"/>
      <c r="AN85" s="95" t="str">
        <f t="shared" si="20"/>
        <v/>
      </c>
      <c r="AO85" s="205" t="str">
        <f>IF(AN85="","",VLOOKUP(AN85,'11. Lists'!$F$36:$H$38,2,FALSE))</f>
        <v/>
      </c>
      <c r="AP85" s="95"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1"/>
        <v/>
      </c>
      <c r="BA85" s="94">
        <v>18</v>
      </c>
      <c r="BB85" s="96" t="str">
        <f t="shared" si="22"/>
        <v/>
      </c>
      <c r="BC85" s="96" t="str">
        <f t="shared" si="23"/>
        <v/>
      </c>
      <c r="BD85" s="96" t="str">
        <f t="shared" si="24"/>
        <v/>
      </c>
      <c r="BE85" s="96" t="str">
        <f t="shared" si="25"/>
        <v/>
      </c>
      <c r="BF85" s="96" t="str">
        <f t="shared" si="26"/>
        <v/>
      </c>
      <c r="BG85" s="96" t="str">
        <f t="shared" si="27"/>
        <v/>
      </c>
      <c r="BH85" s="96" t="str">
        <f t="shared" si="28"/>
        <v/>
      </c>
      <c r="BI85" s="96" t="str">
        <f t="shared" si="29"/>
        <v/>
      </c>
      <c r="BJ85" s="96" t="str">
        <f t="shared" si="30"/>
        <v/>
      </c>
      <c r="BK85" s="96" t="str">
        <f t="shared" si="31"/>
        <v/>
      </c>
      <c r="BL85" s="96" t="str">
        <f t="shared" si="32"/>
        <v/>
      </c>
      <c r="BM85" s="96" t="str">
        <f t="shared" si="33"/>
        <v/>
      </c>
      <c r="BN85" s="96" t="str">
        <f t="shared" si="34"/>
        <v/>
      </c>
      <c r="BO85" s="96" t="str">
        <f t="shared" si="35"/>
        <v/>
      </c>
      <c r="BP85" s="96" t="str">
        <f t="shared" si="36"/>
        <v/>
      </c>
      <c r="BQ85" s="96" t="str">
        <f t="shared" si="37"/>
        <v/>
      </c>
      <c r="BR85" s="96" t="str">
        <f t="shared" si="38"/>
        <v/>
      </c>
      <c r="BS85" s="96" t="str">
        <f t="shared" si="39"/>
        <v/>
      </c>
      <c r="BT85" s="96" t="str">
        <f t="shared" si="40"/>
        <v/>
      </c>
      <c r="BU85" s="95" t="str">
        <f t="shared" si="41"/>
        <v/>
      </c>
      <c r="BV85" s="205" t="str">
        <f t="shared" si="48"/>
        <v/>
      </c>
      <c r="BW85" s="96" t="s">
        <v>152</v>
      </c>
      <c r="BX85" s="96">
        <f>BS66</f>
        <v>0</v>
      </c>
    </row>
    <row r="86" spans="1:76" s="26" customFormat="1" ht="15.75" x14ac:dyDescent="0.25">
      <c r="A86" s="90"/>
      <c r="B86" s="298">
        <v>19</v>
      </c>
      <c r="C86" s="122" t="str">
        <f t="shared" si="11"/>
        <v/>
      </c>
      <c r="D86" s="229" t="str">
        <f t="shared" si="42"/>
        <v/>
      </c>
      <c r="E86" s="176" t="str">
        <f t="shared" si="12"/>
        <v/>
      </c>
      <c r="F86" s="632"/>
      <c r="G86" s="633"/>
      <c r="H86" s="172" t="str">
        <f t="shared" si="13"/>
        <v/>
      </c>
      <c r="I86" s="367" t="str">
        <f t="shared" si="43"/>
        <v/>
      </c>
      <c r="J86" s="617" t="str">
        <f>IFERROR(IF(F86="","",VLOOKUP(F86,'10. Condition and Temporal'!$B$6:$F$103,5,FALSE)), "Error ▲")</f>
        <v/>
      </c>
      <c r="K86" s="618"/>
      <c r="L86" s="317" t="str">
        <f t="shared" si="44"/>
        <v/>
      </c>
      <c r="M86" s="609" t="str">
        <f t="shared" si="45"/>
        <v/>
      </c>
      <c r="N86" s="610"/>
      <c r="O86" s="75"/>
      <c r="P86" s="12"/>
      <c r="R86" s="664"/>
      <c r="T86" s="196" t="str">
        <f t="shared" si="14"/>
        <v/>
      </c>
      <c r="U86" s="117" t="str">
        <f t="shared" si="46"/>
        <v/>
      </c>
      <c r="V86" s="95" t="str">
        <f t="shared" si="15"/>
        <v/>
      </c>
      <c r="W86" s="94" t="str">
        <f t="shared" si="15"/>
        <v/>
      </c>
      <c r="X86" s="96" t="str">
        <f t="shared" si="15"/>
        <v/>
      </c>
      <c r="Y86" s="392"/>
      <c r="Z86" s="392"/>
      <c r="AA86" s="392"/>
      <c r="AB86" s="96" t="str">
        <f t="shared" si="16"/>
        <v/>
      </c>
      <c r="AC86" s="119" t="str">
        <f t="shared" si="17"/>
        <v/>
      </c>
      <c r="AD86" s="118" t="str">
        <f t="shared" si="49"/>
        <v/>
      </c>
      <c r="AE86" s="198" t="str">
        <f t="shared" si="47"/>
        <v/>
      </c>
      <c r="AF86" s="200" t="str">
        <f t="shared" si="18"/>
        <v/>
      </c>
      <c r="AG86" s="117" t="str">
        <f>IF(D86="","",VLOOKUP(F86,'9. All Habitats + Multipliers'!$C$4:$K$102,5,FALSE))</f>
        <v/>
      </c>
      <c r="AH86" s="95" t="str">
        <f>IF(AG86="","",VLOOKUP(AG86,'11. Lists'!$B$47:$D$49,2,FALSE))</f>
        <v/>
      </c>
      <c r="AI86" s="200" t="str">
        <f t="shared" si="19"/>
        <v/>
      </c>
      <c r="AJ86" s="94" t="str">
        <f>IF(AI86="","",VLOOKUP(AI86,'11. Lists'!$F$47:$G$51,2,FALSE))</f>
        <v/>
      </c>
      <c r="AK86" s="392"/>
      <c r="AL86" s="392"/>
      <c r="AM86" s="392"/>
      <c r="AN86" s="95" t="str">
        <f t="shared" si="20"/>
        <v/>
      </c>
      <c r="AO86" s="205" t="str">
        <f>IF(AN86="","",VLOOKUP(AN86,'11. Lists'!$F$36:$H$38,2,FALSE))</f>
        <v/>
      </c>
      <c r="AP86" s="95" t="str">
        <f>IF(AN86="","",VLOOKUP(AN86,'11. Lists'!$F$36:$H$38,3,FALSE))</f>
        <v/>
      </c>
      <c r="AQ86" s="117" t="str">
        <f>IF(D86="","",VLOOKUP(F86,'10. Condition and Temporal'!$B$6:$L$103,11,FALSE))</f>
        <v/>
      </c>
      <c r="AR86" s="121" t="str">
        <f>IF(AQ86="","",VLOOKUP(AQ86,'11. Lists'!$I$47:$K$80,3,FALSE))</f>
        <v/>
      </c>
      <c r="AS86" s="137" t="str">
        <f>IF(D86="","",VLOOKUP(F86,'10. Condition and Temporal'!$B$6:$M$106,12,FALSE))</f>
        <v/>
      </c>
      <c r="AT86" s="121" t="str">
        <f>IF(AS86="","",VLOOKUP(AS86,'11. Lists'!$I$47:$K$80,3,FALSE))</f>
        <v/>
      </c>
      <c r="AU86" s="120" t="str">
        <f>IF(D86="","",VLOOKUP(F86,'9. All Habitats + Multipliers'!$C$4:$K$102,8,FALSE))</f>
        <v/>
      </c>
      <c r="AV86" s="118" t="str">
        <f>IF(AU86="","",VLOOKUP(AU86,'11. Lists'!$J$35:$K$38,2,FALSE))</f>
        <v/>
      </c>
      <c r="AW86" s="117" t="str">
        <f>IF(D86="","",VLOOKUP(D86,'10. Condition and Temporal'!$B$6:$M$103,4,FALSE))</f>
        <v/>
      </c>
      <c r="AX86" s="118" t="str">
        <f t="shared" si="21"/>
        <v/>
      </c>
      <c r="BA86" s="94">
        <v>19</v>
      </c>
      <c r="BB86" s="96" t="str">
        <f t="shared" si="22"/>
        <v/>
      </c>
      <c r="BC86" s="96" t="str">
        <f t="shared" si="23"/>
        <v/>
      </c>
      <c r="BD86" s="96" t="str">
        <f t="shared" si="24"/>
        <v/>
      </c>
      <c r="BE86" s="96" t="str">
        <f t="shared" si="25"/>
        <v/>
      </c>
      <c r="BF86" s="96" t="str">
        <f t="shared" si="26"/>
        <v/>
      </c>
      <c r="BG86" s="96" t="str">
        <f t="shared" si="27"/>
        <v/>
      </c>
      <c r="BH86" s="96" t="str">
        <f t="shared" si="28"/>
        <v/>
      </c>
      <c r="BI86" s="96" t="str">
        <f t="shared" si="29"/>
        <v/>
      </c>
      <c r="BJ86" s="96" t="str">
        <f t="shared" si="30"/>
        <v/>
      </c>
      <c r="BK86" s="96" t="str">
        <f t="shared" si="31"/>
        <v/>
      </c>
      <c r="BL86" s="96" t="str">
        <f t="shared" si="32"/>
        <v/>
      </c>
      <c r="BM86" s="96" t="str">
        <f t="shared" si="33"/>
        <v/>
      </c>
      <c r="BN86" s="96" t="str">
        <f t="shared" si="34"/>
        <v/>
      </c>
      <c r="BO86" s="96" t="str">
        <f t="shared" si="35"/>
        <v/>
      </c>
      <c r="BP86" s="96" t="str">
        <f t="shared" si="36"/>
        <v/>
      </c>
      <c r="BQ86" s="96" t="str">
        <f t="shared" si="37"/>
        <v/>
      </c>
      <c r="BR86" s="96" t="str">
        <f t="shared" si="38"/>
        <v/>
      </c>
      <c r="BS86" s="96" t="str">
        <f t="shared" si="39"/>
        <v/>
      </c>
      <c r="BT86" s="96" t="str">
        <f t="shared" si="40"/>
        <v/>
      </c>
      <c r="BU86" s="95" t="str">
        <f t="shared" si="41"/>
        <v/>
      </c>
      <c r="BV86" s="205" t="str">
        <f t="shared" si="48"/>
        <v/>
      </c>
      <c r="BW86" s="96" t="s">
        <v>153</v>
      </c>
      <c r="BX86" s="96">
        <f>BT66</f>
        <v>0</v>
      </c>
    </row>
    <row r="87" spans="1:76" s="26" customFormat="1" ht="16.5" thickBot="1" x14ac:dyDescent="0.3">
      <c r="A87" s="90"/>
      <c r="B87" s="300">
        <v>20</v>
      </c>
      <c r="C87" s="469" t="str">
        <f t="shared" si="11"/>
        <v/>
      </c>
      <c r="D87" s="470" t="str">
        <f t="shared" si="42"/>
        <v/>
      </c>
      <c r="E87" s="471" t="str">
        <f t="shared" si="12"/>
        <v/>
      </c>
      <c r="F87" s="638"/>
      <c r="G87" s="639"/>
      <c r="H87" s="244" t="str">
        <f t="shared" si="13"/>
        <v/>
      </c>
      <c r="I87" s="472" t="str">
        <f t="shared" si="43"/>
        <v/>
      </c>
      <c r="J87" s="634" t="str">
        <f>IFERROR(IF(F87="","",VLOOKUP(F87,'10. Condition and Temporal'!$B$6:$F$103,5,FALSE)), "Error ▲")</f>
        <v/>
      </c>
      <c r="K87" s="635"/>
      <c r="L87" s="313" t="str">
        <f t="shared" si="44"/>
        <v/>
      </c>
      <c r="M87" s="623" t="str">
        <f t="shared" si="45"/>
        <v/>
      </c>
      <c r="N87" s="624"/>
      <c r="O87" s="473"/>
      <c r="P87" s="6"/>
      <c r="R87" s="664"/>
      <c r="T87" s="197" t="str">
        <f t="shared" si="14"/>
        <v/>
      </c>
      <c r="U87" s="117" t="str">
        <f t="shared" si="46"/>
        <v/>
      </c>
      <c r="V87" s="183" t="str">
        <f t="shared" si="15"/>
        <v/>
      </c>
      <c r="W87" s="182" t="str">
        <f t="shared" si="15"/>
        <v/>
      </c>
      <c r="X87" s="184" t="str">
        <f t="shared" si="15"/>
        <v/>
      </c>
      <c r="Y87" s="396"/>
      <c r="Z87" s="396"/>
      <c r="AA87" s="396"/>
      <c r="AB87" s="184" t="str">
        <f t="shared" si="16"/>
        <v/>
      </c>
      <c r="AC87" s="179" t="str">
        <f t="shared" si="17"/>
        <v/>
      </c>
      <c r="AD87" s="118" t="str">
        <f t="shared" si="49"/>
        <v/>
      </c>
      <c r="AE87" s="198" t="str">
        <f t="shared" si="47"/>
        <v/>
      </c>
      <c r="AF87" s="201" t="str">
        <f t="shared" si="18"/>
        <v/>
      </c>
      <c r="AG87" s="186" t="str">
        <f>IF(D87="","",VLOOKUP(F87,'9. All Habitats + Multipliers'!$C$4:$K$102,5,FALSE))</f>
        <v/>
      </c>
      <c r="AH87" s="183" t="str">
        <f>IF(AG87="","",VLOOKUP(AG87,'11. Lists'!$B$47:$D$49,2,FALSE))</f>
        <v/>
      </c>
      <c r="AI87" s="201" t="str">
        <f t="shared" si="19"/>
        <v/>
      </c>
      <c r="AJ87" s="94" t="str">
        <f>IF(AI87="","",VLOOKUP(AI87,'11. Lists'!$F$47:$G$51,2,FALSE))</f>
        <v/>
      </c>
      <c r="AK87" s="392"/>
      <c r="AL87" s="392"/>
      <c r="AM87" s="392"/>
      <c r="AN87" s="95" t="str">
        <f t="shared" si="20"/>
        <v/>
      </c>
      <c r="AO87" s="399" t="str">
        <f>IF(AN87="","",VLOOKUP(AN87,'11. Lists'!$F$36:$H$38,2,FALSE))</f>
        <v/>
      </c>
      <c r="AP87" s="183" t="str">
        <f>IF(AN87="","",VLOOKUP(AN87,'11. Lists'!$F$36:$H$38,3,FALSE))</f>
        <v/>
      </c>
      <c r="AQ87" s="117" t="str">
        <f>IF(D87="","",VLOOKUP(F87,'10. Condition and Temporal'!$B$6:$L$103,11,FALSE))</f>
        <v/>
      </c>
      <c r="AR87" s="187" t="str">
        <f>IF(AQ87="","",VLOOKUP(AQ87,'11. Lists'!$I$47:$K$80,3,FALSE))</f>
        <v/>
      </c>
      <c r="AS87" s="137" t="str">
        <f>IF(D87="","",VLOOKUP(F87,'10. Condition and Temporal'!$B$6:$M$106,12,FALSE))</f>
        <v/>
      </c>
      <c r="AT87" s="187" t="str">
        <f>IF(AS87="","",VLOOKUP(AS87,'11. Lists'!$I$47:$K$80,3,FALSE))</f>
        <v/>
      </c>
      <c r="AU87" s="178" t="str">
        <f>IF(D87="","",VLOOKUP(F87,'9. All Habitats + Multipliers'!$C$4:$K$102,8,FALSE))</f>
        <v/>
      </c>
      <c r="AV87" s="185" t="str">
        <f>IF(AU87="","",VLOOKUP(AU87,'11. Lists'!$J$35:$K$38,2,FALSE))</f>
        <v/>
      </c>
      <c r="AW87" s="186" t="str">
        <f>IF(D87="","",VLOOKUP(D87,'10. Condition and Temporal'!$B$6:$M$103,4,FALSE))</f>
        <v/>
      </c>
      <c r="AX87" s="118" t="str">
        <f t="shared" si="21"/>
        <v/>
      </c>
      <c r="BA87" s="100">
        <v>20</v>
      </c>
      <c r="BB87" s="102" t="str">
        <f t="shared" si="22"/>
        <v/>
      </c>
      <c r="BC87" s="102" t="str">
        <f t="shared" si="23"/>
        <v/>
      </c>
      <c r="BD87" s="102" t="str">
        <f t="shared" si="24"/>
        <v/>
      </c>
      <c r="BE87" s="102" t="str">
        <f t="shared" si="25"/>
        <v/>
      </c>
      <c r="BF87" s="102" t="str">
        <f t="shared" si="26"/>
        <v/>
      </c>
      <c r="BG87" s="102" t="str">
        <f t="shared" si="27"/>
        <v/>
      </c>
      <c r="BH87" s="102" t="str">
        <f t="shared" si="28"/>
        <v/>
      </c>
      <c r="BI87" s="102" t="str">
        <f t="shared" si="29"/>
        <v/>
      </c>
      <c r="BJ87" s="102" t="str">
        <f t="shared" si="30"/>
        <v/>
      </c>
      <c r="BK87" s="102" t="str">
        <f t="shared" si="31"/>
        <v/>
      </c>
      <c r="BL87" s="102" t="str">
        <f t="shared" si="32"/>
        <v/>
      </c>
      <c r="BM87" s="102" t="str">
        <f t="shared" si="33"/>
        <v/>
      </c>
      <c r="BN87" s="102" t="str">
        <f t="shared" si="34"/>
        <v/>
      </c>
      <c r="BO87" s="102" t="str">
        <f t="shared" si="35"/>
        <v/>
      </c>
      <c r="BP87" s="102" t="str">
        <f t="shared" si="36"/>
        <v/>
      </c>
      <c r="BQ87" s="102" t="str">
        <f t="shared" si="37"/>
        <v/>
      </c>
      <c r="BR87" s="102" t="str">
        <f t="shared" si="38"/>
        <v/>
      </c>
      <c r="BS87" s="102" t="str">
        <f t="shared" si="39"/>
        <v/>
      </c>
      <c r="BT87" s="102" t="str">
        <f t="shared" si="40"/>
        <v/>
      </c>
      <c r="BU87" s="101" t="str">
        <f t="shared" si="41"/>
        <v/>
      </c>
      <c r="BV87" s="205" t="str">
        <f t="shared" si="48"/>
        <v/>
      </c>
      <c r="BW87" s="96" t="s">
        <v>154</v>
      </c>
      <c r="BX87" s="96">
        <f>BU66</f>
        <v>0</v>
      </c>
    </row>
    <row r="88" spans="1:76" s="26" customFormat="1" ht="32.450000000000003" customHeight="1" thickBot="1" x14ac:dyDescent="0.3">
      <c r="A88" s="90"/>
      <c r="B88" s="301" t="s">
        <v>78</v>
      </c>
      <c r="C88" s="99" t="s">
        <v>949</v>
      </c>
      <c r="D88" s="474" t="s">
        <v>950</v>
      </c>
      <c r="E88" s="99" t="str">
        <f t="shared" si="12"/>
        <v>Condition</v>
      </c>
      <c r="F88" s="636" t="s">
        <v>950</v>
      </c>
      <c r="G88" s="637"/>
      <c r="H88" s="475" t="s">
        <v>919</v>
      </c>
      <c r="I88" s="476">
        <f>IF(K31="","",K31)</f>
        <v>0</v>
      </c>
      <c r="J88" s="774" t="str">
        <f>IF(F88="","",VLOOKUP(F88,'10. Condition and Temporal'!$B$6:$F$103,5,FALSE))</f>
        <v>Good</v>
      </c>
      <c r="K88" s="775"/>
      <c r="L88" s="477">
        <f t="shared" ref="L88" si="50">IFERROR(IF(D88="","",IF(AX88="Distinctiveness",(((((I88*AH88*AJ88)-(I88*V88*X88))*(AV88*AT88))+(I88*V88*X88))*(AP88))/10000,((((I88*AJ88*AH88)-(I88*V88*X88))*(AV88*AR88))+(I88*V88*X88))*AP88/10000)),"This intervention is not permitted within the SSM ▲")</f>
        <v>0</v>
      </c>
      <c r="M88" s="621">
        <f>L88-AD88</f>
        <v>0</v>
      </c>
      <c r="N88" s="622"/>
      <c r="O88" s="478"/>
      <c r="P88" s="40"/>
      <c r="R88" s="664"/>
      <c r="T88" s="188">
        <f t="shared" si="14"/>
        <v>0</v>
      </c>
      <c r="U88" s="189" t="str">
        <f>IF($D88="","",T31)</f>
        <v>Medium</v>
      </c>
      <c r="V88" s="398">
        <f t="shared" si="15"/>
        <v>4</v>
      </c>
      <c r="W88" s="189" t="str">
        <f t="shared" si="15"/>
        <v>Moderate</v>
      </c>
      <c r="X88" s="191">
        <f t="shared" si="15"/>
        <v>2</v>
      </c>
      <c r="Y88" s="397"/>
      <c r="Z88" s="397"/>
      <c r="AA88" s="397"/>
      <c r="AB88" s="191" t="str">
        <f t="shared" si="16"/>
        <v>Formally identified in local strategy</v>
      </c>
      <c r="AC88" s="191">
        <f t="shared" si="17"/>
        <v>1.1499999999999999</v>
      </c>
      <c r="AD88" s="190">
        <f t="shared" ref="AD88" si="51">IF(AC88="","",(T88*V88*X88)*(AA88*AC88)/10000)</f>
        <v>0</v>
      </c>
      <c r="AE88" s="199" t="str">
        <f>IF(AD88="","",IF(AH88&lt;V88,"Not Acceptable","Acceptable"))</f>
        <v>Acceptable</v>
      </c>
      <c r="AF88" s="188">
        <f t="shared" si="18"/>
        <v>0</v>
      </c>
      <c r="AG88" s="189" t="str">
        <f>IF(D88="","",VLOOKUP(F88,'9. All Habitats + Multipliers'!$C$4:$K$102,5,FALSE))</f>
        <v>Medium</v>
      </c>
      <c r="AH88" s="190">
        <f>IF(AG88="","",VLOOKUP(AG88,'11. Lists'!$B$47:$D$49,2,FALSE))</f>
        <v>4</v>
      </c>
      <c r="AI88" s="188" t="str">
        <f t="shared" si="19"/>
        <v>Good</v>
      </c>
      <c r="AJ88" s="100">
        <f>IF(AI88="","",VLOOKUP(AI88,'11. Lists'!$F$47:$G$51,2,FALSE))</f>
        <v>3</v>
      </c>
      <c r="AK88" s="414"/>
      <c r="AL88" s="414"/>
      <c r="AM88" s="414"/>
      <c r="AN88" s="101" t="str">
        <f t="shared" si="20"/>
        <v>Area/compensation not in local strategy/ no local strategy</v>
      </c>
      <c r="AO88" s="192" t="str">
        <f>IF(AN88="","",VLOOKUP(AN88,'11. Lists'!$F$36:$H$38,2,FALSE))</f>
        <v>Low Strategic Significance</v>
      </c>
      <c r="AP88" s="190">
        <f>IF(AN88="","",VLOOKUP(AN88,'11. Lists'!$F$36:$H$38,3,FALSE))</f>
        <v>1</v>
      </c>
      <c r="AQ88" s="189">
        <f>IF(D88="","",VLOOKUP(F88,'10. Condition and Temporal'!$B$6:$L$103,11,FALSE))</f>
        <v>16</v>
      </c>
      <c r="AR88" s="193">
        <f>IF(AQ88="","",VLOOKUP(AQ88,'11. Lists'!$I$47:$K$80,3,FALSE))</f>
        <v>0.56550573479999999</v>
      </c>
      <c r="AS88" s="194" t="str">
        <f>IF(D88="","",VLOOKUP(F88,'10. Condition and Temporal'!$B$6:$M$106,12,FALSE))</f>
        <v>Not Possible</v>
      </c>
      <c r="AT88" s="193" t="str">
        <f>IF(AS88="","",VLOOKUP(AS88,'11. Lists'!$I$47:$K$80,3,FALSE))</f>
        <v>N/A</v>
      </c>
      <c r="AU88" s="192" t="str">
        <f>IF(D88="","",VLOOKUP(F88,'9. All Habitats + Multipliers'!$C$4:$K$102,8,FALSE))</f>
        <v>Low</v>
      </c>
      <c r="AV88" s="190">
        <f>IF(AU88="","",VLOOKUP(AU88,'11. Lists'!$J$35:$K$38,2,FALSE))</f>
        <v>1</v>
      </c>
      <c r="AW88" s="189" t="str">
        <f>IF(D88="","",VLOOKUP(D88,'10. Condition and Temporal'!$B$6:$M$103,4,FALSE))</f>
        <v>Urban/rural tree</v>
      </c>
      <c r="AX88" s="190" t="str">
        <f>IF(F88="","",IF(D88=F88,"Condition","Distinctivness"))</f>
        <v>Condition</v>
      </c>
    </row>
    <row r="89" spans="1:76" s="26" customFormat="1" ht="15.75" thickBot="1" x14ac:dyDescent="0.3">
      <c r="H89" s="303" t="s">
        <v>81</v>
      </c>
      <c r="I89" s="364">
        <f>SUM(I68:I87)</f>
        <v>0</v>
      </c>
      <c r="J89" s="247"/>
      <c r="K89" s="245"/>
      <c r="L89" s="318">
        <f>SUM(L68:L88)</f>
        <v>0</v>
      </c>
      <c r="M89" s="625">
        <f>SUM(M68:N88)</f>
        <v>0</v>
      </c>
      <c r="N89" s="622"/>
      <c r="R89" s="664"/>
    </row>
    <row r="90" spans="1:76" s="26" customFormat="1" x14ac:dyDescent="0.25">
      <c r="C90" s="27"/>
      <c r="R90" s="664"/>
    </row>
    <row r="91" spans="1:76" s="26" customFormat="1" x14ac:dyDescent="0.25">
      <c r="R91" s="664"/>
    </row>
    <row r="92" spans="1:76" s="26" customFormat="1" ht="21" x14ac:dyDescent="0.35">
      <c r="B92" s="58" t="s">
        <v>986</v>
      </c>
      <c r="D92" s="89"/>
      <c r="R92" s="664"/>
    </row>
    <row r="93" spans="1:76" s="26" customFormat="1" ht="15.75" thickBot="1" x14ac:dyDescent="0.3">
      <c r="R93" s="664"/>
    </row>
    <row r="94" spans="1:76" s="26" customFormat="1" ht="15.6" customHeight="1" x14ac:dyDescent="0.25">
      <c r="B94" s="674" t="s">
        <v>155</v>
      </c>
      <c r="C94" s="675"/>
      <c r="D94" s="771" t="s">
        <v>156</v>
      </c>
      <c r="E94" s="628" t="s">
        <v>927</v>
      </c>
      <c r="F94" s="629"/>
      <c r="G94" s="778" t="s">
        <v>926</v>
      </c>
      <c r="H94" s="776" t="s">
        <v>157</v>
      </c>
      <c r="I94" s="665" t="s">
        <v>158</v>
      </c>
      <c r="J94" s="666"/>
      <c r="K94" s="666"/>
      <c r="L94" s="666"/>
      <c r="M94" s="666"/>
      <c r="N94" s="666"/>
      <c r="O94" s="666"/>
      <c r="P94" s="667"/>
      <c r="R94" s="664"/>
    </row>
    <row r="95" spans="1:76" s="26" customFormat="1" ht="32.25" thickBot="1" x14ac:dyDescent="0.3">
      <c r="B95" s="676"/>
      <c r="C95" s="677"/>
      <c r="D95" s="772"/>
      <c r="E95" s="630"/>
      <c r="F95" s="631"/>
      <c r="G95" s="779"/>
      <c r="H95" s="777"/>
      <c r="I95" s="615" t="s">
        <v>159</v>
      </c>
      <c r="J95" s="616"/>
      <c r="K95" s="616"/>
      <c r="L95" s="619" t="s">
        <v>925</v>
      </c>
      <c r="M95" s="620"/>
      <c r="N95" s="615"/>
      <c r="O95" s="219" t="s">
        <v>160</v>
      </c>
      <c r="P95" s="91" t="s">
        <v>161</v>
      </c>
      <c r="R95" s="664" t="s">
        <v>45</v>
      </c>
    </row>
    <row r="96" spans="1:76" s="26" customFormat="1" ht="24.6" customHeight="1" x14ac:dyDescent="0.25">
      <c r="B96" s="588" t="s">
        <v>911</v>
      </c>
      <c r="C96" s="686"/>
      <c r="D96" s="164">
        <v>13</v>
      </c>
      <c r="E96" s="627">
        <v>2</v>
      </c>
      <c r="F96" s="627"/>
      <c r="G96" s="162">
        <v>0</v>
      </c>
      <c r="H96" s="238">
        <v>5</v>
      </c>
      <c r="I96" s="613">
        <f>D96*'11. Lists'!P47</f>
        <v>529.02719999999988</v>
      </c>
      <c r="J96" s="614"/>
      <c r="K96" s="614"/>
      <c r="L96" s="614">
        <f>IF(G96+E96&gt;D96, "Error ▲", E96*'11. Lists'!P47)</f>
        <v>81.388799999999989</v>
      </c>
      <c r="M96" s="614"/>
      <c r="N96" s="614"/>
      <c r="O96" s="234">
        <f>IF(G96+E96&gt;D96, "Error ▲", G96*'11. Lists'!P47)</f>
        <v>0</v>
      </c>
      <c r="P96" s="235">
        <f>H96*'11. Lists'!P47</f>
        <v>203.47199999999998</v>
      </c>
      <c r="R96" s="664"/>
    </row>
    <row r="97" spans="1:18" s="26" customFormat="1" ht="24.6" customHeight="1" x14ac:dyDescent="0.25">
      <c r="B97" s="684" t="s">
        <v>1014</v>
      </c>
      <c r="C97" s="685"/>
      <c r="D97" s="239"/>
      <c r="E97" s="626"/>
      <c r="F97" s="626"/>
      <c r="G97" s="163"/>
      <c r="H97" s="240">
        <v>5</v>
      </c>
      <c r="I97" s="611">
        <f>D97*'11. Lists'!P48</f>
        <v>0</v>
      </c>
      <c r="J97" s="612"/>
      <c r="K97" s="612"/>
      <c r="L97" s="614">
        <f>IF(G97+E97&gt;D97,"Error ▲",(E97*'11. Lists'!P48))</f>
        <v>0</v>
      </c>
      <c r="M97" s="614"/>
      <c r="N97" s="614"/>
      <c r="O97" s="236">
        <f>IF(G97+E97&gt;D97, "Error ▲", G97*'11. Lists'!P48)</f>
        <v>0</v>
      </c>
      <c r="P97" s="237">
        <f>H97*'11. Lists'!P48</f>
        <v>1831.2480000000003</v>
      </c>
      <c r="R97" s="664"/>
    </row>
    <row r="98" spans="1:18" s="26" customFormat="1" ht="24.6" customHeight="1" x14ac:dyDescent="0.25">
      <c r="B98" s="684" t="s">
        <v>912</v>
      </c>
      <c r="C98" s="685"/>
      <c r="D98" s="239"/>
      <c r="E98" s="626"/>
      <c r="F98" s="626"/>
      <c r="G98" s="163"/>
      <c r="H98" s="240"/>
      <c r="I98" s="611">
        <f>D98*'11. Lists'!P49</f>
        <v>0</v>
      </c>
      <c r="J98" s="612"/>
      <c r="K98" s="612"/>
      <c r="L98" s="614">
        <f>IF(G98+E98&gt;D98,"Error ▲",(E98*'11. Lists'!P49))</f>
        <v>0</v>
      </c>
      <c r="M98" s="614"/>
      <c r="N98" s="614"/>
      <c r="O98" s="236">
        <f>IF(G98+E98&gt;D98, "Error ▲", G98*'11. Lists'!P49)</f>
        <v>0</v>
      </c>
      <c r="P98" s="237">
        <f>H98*'11. Lists'!P49</f>
        <v>0</v>
      </c>
      <c r="R98" s="664"/>
    </row>
    <row r="99" spans="1:18" s="26" customFormat="1" ht="24.6" customHeight="1" thickBot="1" x14ac:dyDescent="0.3">
      <c r="B99" s="581" t="s">
        <v>162</v>
      </c>
      <c r="C99" s="678"/>
      <c r="D99" s="319">
        <f>SUM(D96:D98)</f>
        <v>13</v>
      </c>
      <c r="E99" s="645">
        <f>SUM(E96:E98)</f>
        <v>2</v>
      </c>
      <c r="F99" s="646"/>
      <c r="G99" s="320">
        <f>SUM(G96:G98)</f>
        <v>0</v>
      </c>
      <c r="H99" s="321">
        <f>SUM(H96:H98)</f>
        <v>10</v>
      </c>
      <c r="I99" s="646">
        <f>SUM(I96:I98)</f>
        <v>529.02719999999988</v>
      </c>
      <c r="J99" s="656"/>
      <c r="K99" s="656"/>
      <c r="L99" s="656">
        <f>SUM(K96:M98)</f>
        <v>81.388799999999989</v>
      </c>
      <c r="M99" s="656"/>
      <c r="N99" s="656"/>
      <c r="O99" s="320">
        <f>SUM(O96:O98)</f>
        <v>0</v>
      </c>
      <c r="P99" s="321">
        <f>SUM(P96:P98)</f>
        <v>2034.7200000000003</v>
      </c>
      <c r="R99" s="664"/>
    </row>
    <row r="100" spans="1:18" s="26" customFormat="1" ht="19.149999999999999" customHeight="1" x14ac:dyDescent="0.25">
      <c r="E100" s="606" t="str">
        <f>IFERROR(IF(OR(G96+E96&gt;D96, G97+E97&gt;D97, G98+E98&gt;D98), "Error - trees retained and lost is greater than number of pre-development trees ▲", ""), "Error  ▲")</f>
        <v/>
      </c>
      <c r="F100" s="606"/>
      <c r="G100" s="606"/>
      <c r="R100" s="664"/>
    </row>
    <row r="101" spans="1:18" s="26" customFormat="1" x14ac:dyDescent="0.25">
      <c r="R101" s="664"/>
    </row>
    <row r="102" spans="1:18" s="26" customFormat="1" x14ac:dyDescent="0.25">
      <c r="A102" s="668" t="s">
        <v>163</v>
      </c>
      <c r="B102" s="668"/>
      <c r="C102" s="668"/>
      <c r="D102" s="668"/>
      <c r="E102" s="668"/>
      <c r="F102" s="668"/>
      <c r="G102" s="668"/>
      <c r="H102" s="668"/>
      <c r="I102" s="668"/>
      <c r="J102" s="668"/>
      <c r="K102" s="668"/>
      <c r="L102" s="668"/>
      <c r="M102" s="668"/>
      <c r="N102" s="668"/>
      <c r="O102" s="668"/>
      <c r="P102" s="668"/>
      <c r="Q102" s="668"/>
      <c r="R102" s="664"/>
    </row>
    <row r="103" spans="1:18" s="26" customFormat="1" x14ac:dyDescent="0.25">
      <c r="A103" s="668"/>
      <c r="B103" s="668"/>
      <c r="C103" s="668"/>
      <c r="D103" s="668"/>
      <c r="E103" s="668"/>
      <c r="F103" s="668"/>
      <c r="G103" s="668"/>
      <c r="H103" s="668"/>
      <c r="I103" s="668"/>
      <c r="J103" s="668"/>
      <c r="K103" s="668"/>
      <c r="L103" s="668"/>
      <c r="M103" s="668"/>
      <c r="N103" s="668"/>
      <c r="O103" s="668"/>
      <c r="P103" s="668"/>
      <c r="Q103" s="668"/>
      <c r="R103" s="664"/>
    </row>
    <row r="104" spans="1:18" s="26" customFormat="1" x14ac:dyDescent="0.25">
      <c r="A104" s="668"/>
      <c r="B104" s="668"/>
      <c r="C104" s="668"/>
      <c r="D104" s="668"/>
      <c r="E104" s="668"/>
      <c r="F104" s="668"/>
      <c r="G104" s="668"/>
      <c r="H104" s="668"/>
      <c r="I104" s="668"/>
      <c r="J104" s="668"/>
      <c r="K104" s="668"/>
      <c r="L104" s="668"/>
      <c r="M104" s="668"/>
      <c r="N104" s="668"/>
      <c r="O104" s="668"/>
      <c r="P104" s="668"/>
      <c r="Q104" s="668"/>
      <c r="R104" s="664"/>
    </row>
    <row r="105" spans="1:18" s="26" customFormat="1" x14ac:dyDescent="0.25">
      <c r="R105" s="664"/>
    </row>
    <row r="106" spans="1:18" s="26" customFormat="1" ht="21" x14ac:dyDescent="0.35">
      <c r="B106" s="58" t="s">
        <v>164</v>
      </c>
      <c r="D106" s="27"/>
      <c r="E106" s="27"/>
      <c r="F106" s="27"/>
      <c r="G106" s="27"/>
      <c r="R106" s="664"/>
    </row>
    <row r="107" spans="1:18" s="26" customFormat="1" ht="15.75" thickBot="1" x14ac:dyDescent="0.3">
      <c r="R107" s="664"/>
    </row>
    <row r="108" spans="1:18" s="26" customFormat="1" ht="36.6" customHeight="1" x14ac:dyDescent="0.25">
      <c r="B108" s="681" t="s">
        <v>165</v>
      </c>
      <c r="C108" s="682"/>
      <c r="D108" s="683"/>
      <c r="E108" s="662" t="str">
        <f>IF(SUM(J114:J135)&gt;0,"Error - Trading Rules Not Satisfied - Insufficent Medium Distinctivness Units Created ▲","Trading Rules Satisfied 🗸")</f>
        <v>Trading Rules Satisfied 🗸</v>
      </c>
      <c r="F108" s="662"/>
      <c r="G108" s="662"/>
      <c r="H108" s="662"/>
      <c r="I108" s="663"/>
      <c r="J108" s="166">
        <f>IFERROR(FIND("Error",E108),0)</f>
        <v>0</v>
      </c>
      <c r="R108" s="664"/>
    </row>
    <row r="109" spans="1:18" s="26" customFormat="1" ht="36" customHeight="1" thickBot="1" x14ac:dyDescent="0.3">
      <c r="B109" s="669" t="s">
        <v>166</v>
      </c>
      <c r="C109" s="670"/>
      <c r="D109" s="671"/>
      <c r="E109" s="660" t="str">
        <f>IF(SUM(J138:J140)&gt;0,"Error - Trading Rules Not Satisfied - Insufficent Units Created Within Habitat Groups ▲","Trading Rules Satisfied 🗸")</f>
        <v>Trading Rules Satisfied 🗸</v>
      </c>
      <c r="F109" s="660"/>
      <c r="G109" s="660"/>
      <c r="H109" s="660"/>
      <c r="I109" s="661"/>
      <c r="J109" s="166">
        <f>IFERROR(FIND("Error",E109),0)</f>
        <v>0</v>
      </c>
      <c r="R109" s="664"/>
    </row>
    <row r="110" spans="1:18" s="26" customFormat="1" x14ac:dyDescent="0.25">
      <c r="R110" s="664"/>
    </row>
    <row r="111" spans="1:18" s="26" customFormat="1" ht="21" x14ac:dyDescent="0.35">
      <c r="B111" s="58" t="s">
        <v>167</v>
      </c>
      <c r="R111" s="664"/>
    </row>
    <row r="112" spans="1:18" s="26" customFormat="1" ht="15.75" thickBot="1" x14ac:dyDescent="0.3">
      <c r="R112" s="664"/>
    </row>
    <row r="113" spans="2:18" s="26" customFormat="1" ht="36.6" customHeight="1" x14ac:dyDescent="0.25">
      <c r="B113" s="724" t="s">
        <v>168</v>
      </c>
      <c r="C113" s="725"/>
      <c r="D113" s="725"/>
      <c r="E113" s="233" t="s">
        <v>169</v>
      </c>
      <c r="F113" s="233" t="s">
        <v>170</v>
      </c>
      <c r="G113" s="233" t="s">
        <v>171</v>
      </c>
      <c r="H113" s="233" t="s">
        <v>172</v>
      </c>
      <c r="I113" s="123" t="s">
        <v>173</v>
      </c>
      <c r="R113" s="664"/>
    </row>
    <row r="114" spans="2:18" s="26" customFormat="1" ht="15.6" customHeight="1" x14ac:dyDescent="0.25">
      <c r="B114" s="726" t="s">
        <v>174</v>
      </c>
      <c r="C114" s="727"/>
      <c r="D114" s="728"/>
      <c r="E114" s="124" t="s">
        <v>175</v>
      </c>
      <c r="F114" s="125">
        <f>SUMIFS($L$11:$L$30,$C$11:$C$30,$B114,$T$11:$T$30,$E114)</f>
        <v>0</v>
      </c>
      <c r="G114" s="125">
        <f>SUMIFS($L$40:$L$59,$C$40:$C$59,$B114,$T$40:$T$59,$E114)+SUMIFS($L$68:$L$87,$C$68:$C$87,B114,$AG$68:$AG$87,E114)+SUMIFS($AE$11:$AE$31,$C$11:$C$31,B114,$T$11:$T$31,E114)</f>
        <v>0</v>
      </c>
      <c r="H114" s="125">
        <f>G114-F114</f>
        <v>0</v>
      </c>
      <c r="I114" s="126" t="s">
        <v>176</v>
      </c>
      <c r="J114" s="166"/>
      <c r="R114" s="664"/>
    </row>
    <row r="115" spans="2:18" s="26" customFormat="1" ht="15.6" customHeight="1" x14ac:dyDescent="0.25">
      <c r="B115" s="729"/>
      <c r="C115" s="730"/>
      <c r="D115" s="731"/>
      <c r="E115" s="127" t="s">
        <v>177</v>
      </c>
      <c r="F115" s="125">
        <f>SUMIFS($L$11:$L$30,$C$11:$C$30,$B114,$T$11:$T$30,$E115)</f>
        <v>0</v>
      </c>
      <c r="G115" s="125">
        <f>SUMIFS($L$40:$L$59,$C$40:$C$59,$B114,$T$40:$T$59,$E115)+SUMIFS($L$68:$L$87,$C$68:$C$87,B114,$AG$68:$AG$87,E115)+SUMIFS($AE$11:$AE$31,$C$11:$C$31,B114,$T$11:$T$31,E115)</f>
        <v>0</v>
      </c>
      <c r="H115" s="125">
        <f>G115-F115</f>
        <v>0</v>
      </c>
      <c r="I115" s="128" t="str">
        <f>IF(F115=0,"N/A",IF(H115&lt;0,"No ▲","Yes 🗸"))</f>
        <v>N/A</v>
      </c>
      <c r="J115" s="166">
        <f>IF(I115="No ▲",1,0)</f>
        <v>0</v>
      </c>
      <c r="R115" s="664"/>
    </row>
    <row r="116" spans="2:18" s="26" customFormat="1" ht="15.6" customHeight="1" x14ac:dyDescent="0.25">
      <c r="B116" s="726" t="s">
        <v>178</v>
      </c>
      <c r="C116" s="727"/>
      <c r="D116" s="728"/>
      <c r="E116" s="124" t="s">
        <v>175</v>
      </c>
      <c r="F116" s="125">
        <f>SUMIFS($L$11:$L$30,$C$11:$C$30,$B116,$T$11:$T$30,$E116)</f>
        <v>0</v>
      </c>
      <c r="G116" s="125">
        <f>SUMIFS($L$40:$L$59,$C$40:$C$59,$B116,$T$40:$T$59,$E116)+SUMIFS($L$68:$L$87,$C$68:$C$87,B116,$AG$68:$AG$87,E116)+SUMIFS($AE$11:$AE$31,$C$11:$C$31,B116,$T$11:$T$31,E116)</f>
        <v>0.12591453608711997</v>
      </c>
      <c r="H116" s="125">
        <f>G116-F116</f>
        <v>0.12591453608711997</v>
      </c>
      <c r="I116" s="126" t="s">
        <v>176</v>
      </c>
      <c r="J116" s="166"/>
      <c r="R116" s="664"/>
    </row>
    <row r="117" spans="2:18" s="26" customFormat="1" ht="15.6" customHeight="1" x14ac:dyDescent="0.25">
      <c r="B117" s="729"/>
      <c r="C117" s="730"/>
      <c r="D117" s="731"/>
      <c r="E117" s="127" t="s">
        <v>177</v>
      </c>
      <c r="F117" s="125">
        <f>SUMIFS($L$11:$L$30,$C$11:$C$30,$B116,$T$11:$T$30,$E117)</f>
        <v>0</v>
      </c>
      <c r="G117" s="125">
        <f>SUMIFS($L$40:$L$59,$C$40:$C$59,$B116,$T$40:$T$59,$E117)+SUMIFS($L$68:$L$87,$C$68:$C$87,B116,$AG$68:$AG$87,E117)+SUMIFS($AE$11:$AE$31,$C$11:$C$31,B116,$T$11:$T$31,E117)</f>
        <v>0</v>
      </c>
      <c r="H117" s="125">
        <f t="shared" ref="H117:H131" si="52">G117-F117</f>
        <v>0</v>
      </c>
      <c r="I117" s="128" t="str">
        <f>IF(F117=0,"N/A",IF(H117&lt;0,"No ▲","Yes 🗸"))</f>
        <v>N/A</v>
      </c>
      <c r="J117" s="166">
        <f>IF(I117="No ▲",1,0)</f>
        <v>0</v>
      </c>
      <c r="R117" s="664"/>
    </row>
    <row r="118" spans="2:18" s="26" customFormat="1" ht="15.6" customHeight="1" x14ac:dyDescent="0.25">
      <c r="B118" s="726" t="s">
        <v>179</v>
      </c>
      <c r="C118" s="727"/>
      <c r="D118" s="728"/>
      <c r="E118" s="124" t="s">
        <v>175</v>
      </c>
      <c r="F118" s="125">
        <f>SUMIFS($L$11:$L$30,$C$11:$C$30,$B118,$T$11:$T$30,$E118)</f>
        <v>0</v>
      </c>
      <c r="G118" s="125">
        <f>SUMIFS($L$40:$L$59,$C$40:$C$59,$B118,$T$40:$T$59,$E118)+SUMIFS($L$68:$L$87,$C$68:$C$87,B118,$AG$68:$AG$87,E118)+SUMIFS($AE$11:$AE$31,$C$11:$C$31,B118,$T$11:$T$31,E118)</f>
        <v>0</v>
      </c>
      <c r="H118" s="125">
        <f t="shared" si="52"/>
        <v>0</v>
      </c>
      <c r="I118" s="126" t="s">
        <v>176</v>
      </c>
      <c r="J118" s="166"/>
      <c r="R118" s="664"/>
    </row>
    <row r="119" spans="2:18" s="26" customFormat="1" ht="15.6" customHeight="1" x14ac:dyDescent="0.25">
      <c r="B119" s="729"/>
      <c r="C119" s="730"/>
      <c r="D119" s="731"/>
      <c r="E119" s="127" t="s">
        <v>177</v>
      </c>
      <c r="F119" s="125">
        <f>SUMIFS($L$11:$L$30,$C$11:$C$30,$B118,$T$11:$T$30,$E119)</f>
        <v>0</v>
      </c>
      <c r="G119" s="125">
        <f>SUMIFS($L$40:$L$59,$C$40:$C$59,$B118,$T$40:$T$59,$E119)+SUMIFS($L$68:$L$87,$C$68:$C$87,B118,$AG$68:$AG$87,E119)+SUMIFS($AE$11:$AE$31,$C$11:$C$31,B118,$T$11:$T$31,E119)</f>
        <v>0</v>
      </c>
      <c r="H119" s="125">
        <f t="shared" si="52"/>
        <v>0</v>
      </c>
      <c r="I119" s="128" t="str">
        <f>IF(F119=0,"N/A",IF(H119&lt;0,"No ▲","Yes 🗸"))</f>
        <v>N/A</v>
      </c>
      <c r="J119" s="166">
        <f>IF(I119="No ▲",1,0)</f>
        <v>0</v>
      </c>
      <c r="R119" s="664"/>
    </row>
    <row r="120" spans="2:18" s="26" customFormat="1" ht="15.6" customHeight="1" x14ac:dyDescent="0.25">
      <c r="B120" s="726" t="s">
        <v>959</v>
      </c>
      <c r="C120" s="727"/>
      <c r="D120" s="728"/>
      <c r="E120" s="124" t="s">
        <v>175</v>
      </c>
      <c r="F120" s="125">
        <f>SUMIFS($L$11:$L$30,$C$11:$C$30,$B120,$T$11:$T$30,$E120)</f>
        <v>0</v>
      </c>
      <c r="G120" s="125">
        <f>SUMIFS($L$40:$L$59,$C$40:$C$59,$B120,$T$40:$T$59,$E120)+SUMIFS($L$68:$L$87,$C$68:$C$87,B120,$AG$68:$AG$87,E120)+SUMIFS($AE$11:$AE$31,$C$11:$C$31,B120,$T$11:$T$31,E120)</f>
        <v>0</v>
      </c>
      <c r="H120" s="125">
        <f>G120-F120</f>
        <v>0</v>
      </c>
      <c r="I120" s="126" t="s">
        <v>176</v>
      </c>
      <c r="J120" s="166"/>
      <c r="R120" s="664"/>
    </row>
    <row r="121" spans="2:18" s="26" customFormat="1" ht="15.6" customHeight="1" x14ac:dyDescent="0.25">
      <c r="B121" s="729"/>
      <c r="C121" s="730"/>
      <c r="D121" s="731"/>
      <c r="E121" s="127" t="s">
        <v>177</v>
      </c>
      <c r="F121" s="125">
        <f>SUMIFS($L$11:$L$30,$C$11:$C$30,$B120,$T$11:$T$30,$E121)</f>
        <v>0</v>
      </c>
      <c r="G121" s="125">
        <f>SUMIFS($L$40:$L$59,$C$40:$C$59,$B120,$T$40:$T$59,$E121)+SUMIFS($L$68:$L$87,$C$68:$C$87,B120,$AG$68:$AG$87,E121)+SUMIFS($AE$11:$AE$31,$C$11:$C$31,B120,$T$11:$T$31,E121)</f>
        <v>0</v>
      </c>
      <c r="H121" s="125">
        <f t="shared" si="52"/>
        <v>0</v>
      </c>
      <c r="I121" s="128" t="str">
        <f>IF(F121=0,"N/A",IF(H121&lt;0,"No ▲","Yes 🗸"))</f>
        <v>N/A</v>
      </c>
      <c r="J121" s="166">
        <f>IF(I121="No ▲",1,0)</f>
        <v>0</v>
      </c>
      <c r="R121" s="664"/>
    </row>
    <row r="122" spans="2:18" s="26" customFormat="1" ht="15.6" customHeight="1" x14ac:dyDescent="0.25">
      <c r="B122" s="726" t="s">
        <v>181</v>
      </c>
      <c r="C122" s="727"/>
      <c r="D122" s="728"/>
      <c r="E122" s="124" t="s">
        <v>175</v>
      </c>
      <c r="F122" s="125">
        <f>SUMIFS($L$11:$L$30,$C$11:$C$30,$B122,$T$11:$T$30,$E122)</f>
        <v>0</v>
      </c>
      <c r="G122" s="125">
        <f>SUMIFS($L$40:$L$59,$C$40:$C$59,$B122,$T$40:$T$59,$E122)+SUMIFS($L$68:$L$87,$C$68:$C$87,B122,$AG$68:$AG$87,E122)+SUMIFS($AE$11:$AE$31,$C$11:$C$31,B122,$T$11:$T$31,E122)</f>
        <v>0</v>
      </c>
      <c r="H122" s="125">
        <f t="shared" si="52"/>
        <v>0</v>
      </c>
      <c r="I122" s="126" t="s">
        <v>176</v>
      </c>
      <c r="J122" s="166"/>
      <c r="R122" s="664"/>
    </row>
    <row r="123" spans="2:18" s="26" customFormat="1" ht="15.6" customHeight="1" x14ac:dyDescent="0.25">
      <c r="B123" s="729"/>
      <c r="C123" s="730"/>
      <c r="D123" s="731"/>
      <c r="E123" s="127" t="s">
        <v>177</v>
      </c>
      <c r="F123" s="125">
        <f>SUMIFS($L$11:$L$30,$C$11:$C$30,$B122,$T$11:$T$30,$E123)</f>
        <v>0</v>
      </c>
      <c r="G123" s="125">
        <f>SUMIFS($L$40:$L$59,$C$40:$C$59,$B122,$T$40:$T$59,$E123)+SUMIFS($L$68:$L$87,$C$68:$C$87,B122,$AG$68:$AG$87,E123)+SUMIFS($AE$11:$AE$31,$C$11:$C$31,B123,$T$11:$T$31,E123)</f>
        <v>0</v>
      </c>
      <c r="H123" s="125">
        <f t="shared" si="52"/>
        <v>0</v>
      </c>
      <c r="I123" s="128" t="str">
        <f>IF(F123=0,"N/A",IF(H123&lt;0,"No ▲","Yes 🗸"))</f>
        <v>N/A</v>
      </c>
      <c r="J123" s="166">
        <f>IF(I123="No ▲",1,0)</f>
        <v>0</v>
      </c>
      <c r="R123" s="664"/>
    </row>
    <row r="124" spans="2:18" s="26" customFormat="1" ht="15.6" customHeight="1" x14ac:dyDescent="0.25">
      <c r="B124" s="726" t="s">
        <v>182</v>
      </c>
      <c r="C124" s="727"/>
      <c r="D124" s="728"/>
      <c r="E124" s="124" t="s">
        <v>175</v>
      </c>
      <c r="F124" s="125">
        <f>SUMIFS($L$11:$L$30,$C$11:$C$30,$B124,$T$11:$T$30,$E124)</f>
        <v>0</v>
      </c>
      <c r="G124" s="125">
        <f>SUMIFS($L$40:$L$59,$C$40:$C$59,$B124,$T$40:$T$59,$E124)+SUMIFS($L$68:$L$87,$C$68:$C$87,B124,$AG$68:$AG$87,E124)+SUMIFS($AE$11:$AE$31,$C$11:$C$31,B124,$T$11:$T$31,E124)</f>
        <v>0</v>
      </c>
      <c r="H124" s="125">
        <f t="shared" si="52"/>
        <v>0</v>
      </c>
      <c r="I124" s="126" t="s">
        <v>176</v>
      </c>
      <c r="J124" s="166"/>
      <c r="R124" s="664"/>
    </row>
    <row r="125" spans="2:18" s="26" customFormat="1" ht="15.6" customHeight="1" x14ac:dyDescent="0.25">
      <c r="B125" s="729"/>
      <c r="C125" s="730"/>
      <c r="D125" s="731"/>
      <c r="E125" s="127" t="s">
        <v>177</v>
      </c>
      <c r="F125" s="125">
        <f>SUMIFS($L$11:$L$30,$C$11:$C$30,$B124,$T$11:$T$30,$E125)</f>
        <v>0</v>
      </c>
      <c r="G125" s="125">
        <f>SUMIFS($L$40:$L$59,$C$40:$C$59,$B124,$T$40:$T$59,$E125)+SUMIFS($L$68:$L$87,$C$68:$C$87,B124,$AG$68:$AG$87,E125)+SUMIFS($AE$11:$AE$31,$C$11:$C$31,B125,$T$11:$T$31,E125)</f>
        <v>0</v>
      </c>
      <c r="H125" s="125">
        <f t="shared" si="52"/>
        <v>0</v>
      </c>
      <c r="I125" s="128" t="str">
        <f>IF(F125=0,"N/A",IF(H125&lt;0,"No ▲","Yes 🗸"))</f>
        <v>N/A</v>
      </c>
      <c r="J125" s="166">
        <f>IF(I125="No ▲",1,0)</f>
        <v>0</v>
      </c>
      <c r="R125" s="664"/>
    </row>
    <row r="126" spans="2:18" s="26" customFormat="1" ht="15.6" customHeight="1" x14ac:dyDescent="0.25">
      <c r="B126" s="726" t="s">
        <v>183</v>
      </c>
      <c r="C126" s="727"/>
      <c r="D126" s="728"/>
      <c r="E126" s="124" t="s">
        <v>175</v>
      </c>
      <c r="F126" s="125">
        <f>SUMIFS($L$11:$L$30,$C$11:$C$30,$B126,$T$11:$T$30,$E126)</f>
        <v>0</v>
      </c>
      <c r="G126" s="125">
        <f>SUMIFS($L$40:$L$59,$C$40:$C$59,$B126,$T$40:$T$59,$E126)+SUMIFS($L$68:$L$87,$C$68:$C$87,B126,$AG$68:$AG$87,E126)+SUMIFS($AE$11:$AE$31,$C$11:$C$31,B126,$T$11:$T$31,E126)</f>
        <v>0</v>
      </c>
      <c r="H126" s="125">
        <f t="shared" si="52"/>
        <v>0</v>
      </c>
      <c r="I126" s="126" t="s">
        <v>176</v>
      </c>
      <c r="J126" s="166"/>
      <c r="R126" s="664"/>
    </row>
    <row r="127" spans="2:18" s="26" customFormat="1" ht="15.6" customHeight="1" x14ac:dyDescent="0.25">
      <c r="B127" s="729"/>
      <c r="C127" s="730"/>
      <c r="D127" s="731"/>
      <c r="E127" s="127" t="s">
        <v>177</v>
      </c>
      <c r="F127" s="125">
        <f>SUMIFS($L$11:$L$30,$C$11:$C$30,$B126,$T$11:$T$30,$E127)</f>
        <v>0</v>
      </c>
      <c r="G127" s="125">
        <f>SUMIFS($L$40:$L$59,$C$40:$C$59,$B126,$T$40:$T$59,$E127)+SUMIFS($L$68:$L$87,$C$68:$C$87,B126,$AG$68:$AG$87,E127)+SUMIFS($AE$11:$AE$31,$C$11:$C$31,B126,$T$11:$T$31,E127)</f>
        <v>0</v>
      </c>
      <c r="H127" s="125">
        <f t="shared" si="52"/>
        <v>0</v>
      </c>
      <c r="I127" s="128" t="str">
        <f>IF(F127=0,"N/A",IF(H127&lt;0,"No ▲","Yes 🗸"))</f>
        <v>N/A</v>
      </c>
      <c r="J127" s="166">
        <f>IF(I127="No ▲",1,0)</f>
        <v>0</v>
      </c>
      <c r="R127" s="664"/>
    </row>
    <row r="128" spans="2:18" s="26" customFormat="1" ht="15.6" customHeight="1" x14ac:dyDescent="0.25">
      <c r="B128" s="726" t="s">
        <v>79</v>
      </c>
      <c r="C128" s="727"/>
      <c r="D128" s="728"/>
      <c r="E128" s="124" t="s">
        <v>175</v>
      </c>
      <c r="F128" s="125">
        <f>SUMIFS($L$11:$L$30,$C$11:$C$30,$B128,$T$11:$T$30,$E128)</f>
        <v>0.27600000000000002</v>
      </c>
      <c r="G128" s="125">
        <f t="shared" ref="G128" si="53">SUMIFS($L$40:$L$59,$C$40:$C$59,$B128,$T$40:$T$59,$E128)+SUMIFS($L$68:$L$87,$C$68:$C$87,B128,$AG$68:$AG$87,E128)+SUMIFS($AE$11:$AE$31,$C$11:$C$31,B128,$T$11:$T$31,E128)</f>
        <v>2.316E-2</v>
      </c>
      <c r="H128" s="125">
        <f t="shared" si="52"/>
        <v>-0.25284000000000001</v>
      </c>
      <c r="I128" s="126" t="s">
        <v>176</v>
      </c>
      <c r="J128" s="166"/>
      <c r="R128" s="664"/>
    </row>
    <row r="129" spans="2:18" s="26" customFormat="1" ht="15.6" customHeight="1" x14ac:dyDescent="0.25">
      <c r="B129" s="729"/>
      <c r="C129" s="730"/>
      <c r="D129" s="731"/>
      <c r="E129" s="127" t="s">
        <v>177</v>
      </c>
      <c r="F129" s="125">
        <f>SUMIFS($L$11:$L$30,$C$11:$C$30,$B128,$T$11:$T$30,$E129)</f>
        <v>0</v>
      </c>
      <c r="G129" s="125">
        <f>SUMIFS($L$40:$L$59,$C$40:$C$59,$B128,$T$40:$T$59,$E129)+SUMIFS($L$68:$L$87,$C$68:$C$87,B128,$AG$68:$AG$87,E129)+SUMIFS($AE$11:$AE$31,$C$11:$C$31,B128,$T$11:$T$31,E129)</f>
        <v>1.0585548331109763E-2</v>
      </c>
      <c r="H129" s="125">
        <f t="shared" si="52"/>
        <v>1.0585548331109763E-2</v>
      </c>
      <c r="I129" s="128" t="str">
        <f>IF(F129=0,"N/A",IF(H129&lt;0,"No ▲","Yes 🗸s"))</f>
        <v>N/A</v>
      </c>
      <c r="J129" s="166">
        <f>IF(I129="No ▲",1,0)</f>
        <v>0</v>
      </c>
      <c r="R129" s="664"/>
    </row>
    <row r="130" spans="2:18" s="26" customFormat="1" ht="15.6" customHeight="1" x14ac:dyDescent="0.25">
      <c r="B130" s="726" t="s">
        <v>184</v>
      </c>
      <c r="C130" s="727"/>
      <c r="D130" s="728"/>
      <c r="E130" s="124" t="s">
        <v>175</v>
      </c>
      <c r="F130" s="125">
        <f>SUMIFS($L$11:$L$30,$C$11:$C$30,$B130,$T$11:$T$30,$E130)</f>
        <v>0</v>
      </c>
      <c r="G130" s="125">
        <f>SUMIFS($L$40:$L$59,$C$40:$C$59,$B130,$T$40:$T$59,$E130)+SUMIFS($L$68:$L$87,$C$68:$C$87,B130,$AG$68:$AG$87,E130)+SUMIFS($AE$11:$AE$31,$C$11:$C$31,B130,$T$11:$T$31,E130)</f>
        <v>0</v>
      </c>
      <c r="H130" s="125">
        <f t="shared" si="52"/>
        <v>0</v>
      </c>
      <c r="I130" s="126" t="s">
        <v>176</v>
      </c>
      <c r="J130" s="166"/>
      <c r="R130" s="664"/>
    </row>
    <row r="131" spans="2:18" s="26" customFormat="1" ht="15.6" customHeight="1" x14ac:dyDescent="0.25">
      <c r="B131" s="729"/>
      <c r="C131" s="730"/>
      <c r="D131" s="731"/>
      <c r="E131" s="127" t="s">
        <v>177</v>
      </c>
      <c r="F131" s="125">
        <f>SUMIFS($L$11:$L$30,$C$11:$C$30,$B130,$T$11:$T$30,$E131)</f>
        <v>0</v>
      </c>
      <c r="G131" s="125">
        <f>SUMIFS($L$40:$L$59,$C$40:$C$59,$B130,$T$40:$T$59,$E131)+SUMIFS($L$68:$L$87,$C$68:$C$87,B130,$AG$68:$AG$87,E131)+SUMIFS($AE$11:$AE$31,$C$11:$C$31,B130,$T$11:$T$31,E131)</f>
        <v>0</v>
      </c>
      <c r="H131" s="125">
        <f t="shared" si="52"/>
        <v>0</v>
      </c>
      <c r="I131" s="128" t="str">
        <f>IF(F131=0,"N/A",IF(H131&lt;0,"No ▲","Yes 🗸"))</f>
        <v>N/A</v>
      </c>
      <c r="J131" s="166">
        <f>IF(I131="No ▲",1,0)</f>
        <v>0</v>
      </c>
      <c r="R131" s="664"/>
    </row>
    <row r="132" spans="2:18" s="26" customFormat="1" ht="15.6" customHeight="1" x14ac:dyDescent="0.25">
      <c r="B132" s="726" t="s">
        <v>960</v>
      </c>
      <c r="C132" s="727"/>
      <c r="D132" s="727"/>
      <c r="E132" s="124" t="s">
        <v>175</v>
      </c>
      <c r="F132" s="125">
        <f>SUMIFS($L$11:$L$30,$C$11:$C$30,$B132,$T$11:$T$30,$E132)</f>
        <v>0</v>
      </c>
      <c r="G132" s="125">
        <f>SUMIFS($L$40:$L$59,$C$40:$C$59,$B132,$T$40:$T$59,$E132)+SUMIFS($L$68:$L$87,$C$68:$C$87,B132,$AG$68:$AG$87,E132)+SUMIFS($AE$11:$AE$31,$C$11:$C$31,B132,$T$11:$T$31,E132)</f>
        <v>0</v>
      </c>
      <c r="H132" s="125">
        <f>G132-F132</f>
        <v>0</v>
      </c>
      <c r="I132" s="126" t="s">
        <v>176</v>
      </c>
      <c r="J132" s="166"/>
      <c r="R132" s="664"/>
    </row>
    <row r="133" spans="2:18" s="26" customFormat="1" ht="15.6" customHeight="1" x14ac:dyDescent="0.25">
      <c r="B133" s="741"/>
      <c r="C133" s="742"/>
      <c r="D133" s="742"/>
      <c r="E133" s="428" t="s">
        <v>177</v>
      </c>
      <c r="F133" s="429">
        <f>SUMIFS($L$11:$L$30,$C$11:$C$30,$B132,$T$11:$T$30,$E133)</f>
        <v>0</v>
      </c>
      <c r="G133" s="429">
        <f>SUMIFS($L$40:$L$59,$C$40:$C$59,$B132,$T$40:$T$59,$E133)+SUMIFS($L$68:$L$87,$C$68:$C$87,B132,$AG$68:$AG$87,E133)+SUMIFS($AE$11:$AE$31,$C$11:$C$31,B132,$T$11:$T$31,E133)</f>
        <v>0</v>
      </c>
      <c r="H133" s="429">
        <f>G133-F133</f>
        <v>0</v>
      </c>
      <c r="I133" s="430" t="str">
        <f>IF(F133=0,"N/A",IF(H133&lt;0,"No ▲","Yes 🗸"))</f>
        <v>N/A</v>
      </c>
      <c r="J133" s="166">
        <f>IF(I133="No ▲",1,0)</f>
        <v>0</v>
      </c>
      <c r="R133" s="664"/>
    </row>
    <row r="134" spans="2:18" s="26" customFormat="1" ht="15.6" customHeight="1" x14ac:dyDescent="0.25">
      <c r="B134" s="726" t="s">
        <v>949</v>
      </c>
      <c r="C134" s="727"/>
      <c r="D134" s="728"/>
      <c r="E134" s="124" t="s">
        <v>175</v>
      </c>
      <c r="F134" s="125">
        <f>SUMIFS($L$11:$L$31,$C$11:$C$31,$B134,$T$11:$T$31,$E134)</f>
        <v>0</v>
      </c>
      <c r="G134" s="125">
        <f>SUMIFS($L$40:$L$60,$C$40:$C$60,$B134,$T$40:$T$60,$E134)+SUMIFS($L$68:$L$88,$C$68:$C$88,B134,$AG$68:$AG$88,E134)+SUMIFS($AE$11:$AE$31,$C$11:$C$31,B134,$T$11:$T$31,E134)</f>
        <v>0</v>
      </c>
      <c r="H134" s="125">
        <f>G134-F134</f>
        <v>0</v>
      </c>
      <c r="I134" s="126" t="s">
        <v>176</v>
      </c>
      <c r="J134" s="166"/>
      <c r="R134" s="664"/>
    </row>
    <row r="135" spans="2:18" s="26" customFormat="1" ht="23.1" customHeight="1" thickBot="1" x14ac:dyDescent="0.3">
      <c r="B135" s="743"/>
      <c r="C135" s="744"/>
      <c r="D135" s="745"/>
      <c r="E135" s="241" t="s">
        <v>177</v>
      </c>
      <c r="F135" s="242">
        <f>SUMIFS($L$11:$L$31,$C$11:$C$31,$B134,$T$11:$T$31,$E135)</f>
        <v>0.48670502399999982</v>
      </c>
      <c r="G135" s="242">
        <f>SUMIFS($L$40:$L$60,$C$40:$C$60,$B134,$T$40:$T$60,$E135)+SUMIFS($L$68:$L$88,$C$68:$C$88,B134,$AG$68:$AG$88,E135)+SUMIFS($AE$11:$AE$31,$C$11:$C$31,B134,$T$11:$T$31,E135)</f>
        <v>0.69693744565992954</v>
      </c>
      <c r="H135" s="242">
        <f>G135-F135</f>
        <v>0.21023242165992972</v>
      </c>
      <c r="I135" s="243" t="str">
        <f>IF(F135=0,"N/A",IF(H135&lt;0,"No ▲","Yes 🗸"))</f>
        <v>Yes 🗸</v>
      </c>
      <c r="J135" s="166">
        <f t="shared" ref="J135" si="54">IF(I135="No ▲",1,0)</f>
        <v>0</v>
      </c>
      <c r="R135" s="664"/>
    </row>
    <row r="136" spans="2:18" s="26" customFormat="1" ht="15.6" customHeight="1" thickBot="1" x14ac:dyDescent="0.3">
      <c r="J136" s="166"/>
      <c r="M136" s="27"/>
      <c r="R136" s="664"/>
    </row>
    <row r="137" spans="2:18" s="26" customFormat="1" ht="37.5" x14ac:dyDescent="0.25">
      <c r="B137" s="681" t="s">
        <v>169</v>
      </c>
      <c r="C137" s="682"/>
      <c r="D137" s="682"/>
      <c r="E137" s="683"/>
      <c r="F137" s="129" t="s">
        <v>170</v>
      </c>
      <c r="G137" s="129" t="s">
        <v>171</v>
      </c>
      <c r="H137" s="129" t="s">
        <v>172</v>
      </c>
      <c r="I137" s="130" t="s">
        <v>173</v>
      </c>
      <c r="J137" s="166"/>
      <c r="M137" s="27"/>
      <c r="R137" s="664"/>
    </row>
    <row r="138" spans="2:18" s="26" customFormat="1" ht="30.6" customHeight="1" x14ac:dyDescent="0.25">
      <c r="B138" s="735" t="s">
        <v>185</v>
      </c>
      <c r="C138" s="736"/>
      <c r="D138" s="736"/>
      <c r="E138" s="737"/>
      <c r="F138" s="125">
        <f>SUMIFS($L$11:$L$31,$T$11:$T$31,"Medium")</f>
        <v>0.48670502399999982</v>
      </c>
      <c r="G138" s="165">
        <f>IF(I61+I89+P1=0,0,SUMIFS($L$40:$L$60,$T$40:$T$60,"Medium")+SUMIFS($L$68:$L$88,$AG$68:$AG$88,"Medium")+SUMIFS($AE$11:$AE$31,$T$11:$T$31,"Medium"))</f>
        <v>0.70752299399103946</v>
      </c>
      <c r="H138" s="125">
        <f>IFERROR(G138-F138,"")</f>
        <v>0.22081796999103964</v>
      </c>
      <c r="I138" s="375" t="str">
        <f>IF(G138="","",IF(H138&gt;=0,"Yes 🗸","No ▲"))</f>
        <v>Yes 🗸</v>
      </c>
      <c r="J138" s="166">
        <f>IF(I138="No ▲",1,0)</f>
        <v>0</v>
      </c>
      <c r="R138" s="664" t="s">
        <v>45</v>
      </c>
    </row>
    <row r="139" spans="2:18" s="26" customFormat="1" ht="30.6" customHeight="1" x14ac:dyDescent="0.25">
      <c r="B139" s="735" t="s">
        <v>186</v>
      </c>
      <c r="C139" s="736"/>
      <c r="D139" s="736"/>
      <c r="E139" s="737"/>
      <c r="F139" s="125">
        <f>SUMIFS($L$11:$L$31,$T$11:$T$31,"Low")</f>
        <v>0.27600000000000002</v>
      </c>
      <c r="G139" s="165">
        <f>IF(I61+I89+P1=0,0,SUMIFS($L$40:$L$60,$T$40:$T$60,"Low")+SUMIFS($L$68:$L$88,$AG$68:$AG$88,"Low")+SUMIFS($AE$11:$AE$31,$T$11:$T$31,"Low"))</f>
        <v>0.14907453608711996</v>
      </c>
      <c r="H139" s="125">
        <f>IFERROR(G139-F139,"")</f>
        <v>-0.12692546391288007</v>
      </c>
      <c r="I139" s="375" t="str">
        <f>IF(G139="","",IF(H139+H138&gt;=0,"Yes 🗸","No ▲"))</f>
        <v>Yes 🗸</v>
      </c>
      <c r="J139" s="166">
        <f>IF(I139="No ▲",1,0)</f>
        <v>0</v>
      </c>
      <c r="R139" s="664"/>
    </row>
    <row r="140" spans="2:18" s="26" customFormat="1" ht="41.25" customHeight="1" thickBot="1" x14ac:dyDescent="0.3">
      <c r="B140" s="738" t="s">
        <v>187</v>
      </c>
      <c r="C140" s="739"/>
      <c r="D140" s="739"/>
      <c r="E140" s="740"/>
      <c r="F140" s="732">
        <f>IFERROR(H138+H139,"")</f>
        <v>9.3892506078159577E-2</v>
      </c>
      <c r="G140" s="733"/>
      <c r="H140" s="734"/>
      <c r="I140" s="376" t="str">
        <f>IF(F140="","",IF(F140&gt;=0,"Yes 🗸","No ▲"))</f>
        <v>Yes 🗸</v>
      </c>
      <c r="J140" s="166">
        <f>IF(I140="No ▲",1,0)</f>
        <v>0</v>
      </c>
      <c r="R140" s="664"/>
    </row>
    <row r="141" spans="2:18" s="26" customFormat="1" x14ac:dyDescent="0.25">
      <c r="R141" s="664"/>
    </row>
    <row r="142" spans="2:18" s="26" customFormat="1" x14ac:dyDescent="0.25">
      <c r="R142" s="664"/>
    </row>
    <row r="143" spans="2:18" s="26" customFormat="1" x14ac:dyDescent="0.25">
      <c r="R143" s="664"/>
    </row>
    <row r="144" spans="2:18" s="26" customFormat="1" x14ac:dyDescent="0.25">
      <c r="R144" s="664"/>
    </row>
    <row r="145" spans="18:18" s="26" customFormat="1" x14ac:dyDescent="0.25">
      <c r="R145" s="664"/>
    </row>
    <row r="146" spans="18:18" s="26" customFormat="1" x14ac:dyDescent="0.25">
      <c r="R146" s="664"/>
    </row>
    <row r="147" spans="18:18" s="26" customFormat="1" x14ac:dyDescent="0.25">
      <c r="R147" s="664"/>
    </row>
    <row r="148" spans="18:18" s="26" customFormat="1" x14ac:dyDescent="0.25">
      <c r="R148" s="664"/>
    </row>
    <row r="149" spans="18:18" s="26" customFormat="1" x14ac:dyDescent="0.25">
      <c r="R149" s="664"/>
    </row>
    <row r="150" spans="18:18" s="26" customFormat="1" x14ac:dyDescent="0.25">
      <c r="R150" s="664"/>
    </row>
    <row r="151" spans="18:18" s="26" customFormat="1" x14ac:dyDescent="0.25">
      <c r="R151" s="664"/>
    </row>
    <row r="152" spans="18:18" s="26" customFormat="1" x14ac:dyDescent="0.25">
      <c r="R152" s="664"/>
    </row>
    <row r="153" spans="18:18" s="26" customFormat="1" x14ac:dyDescent="0.25">
      <c r="R153" s="664"/>
    </row>
    <row r="154" spans="18:18" s="26" customFormat="1" x14ac:dyDescent="0.25">
      <c r="R154" s="664"/>
    </row>
    <row r="155" spans="18:18" s="26" customFormat="1" x14ac:dyDescent="0.25">
      <c r="R155" s="664"/>
    </row>
    <row r="156" spans="18:18" s="26" customFormat="1" x14ac:dyDescent="0.25">
      <c r="R156" s="664"/>
    </row>
    <row r="157" spans="18:18" s="26" customFormat="1" x14ac:dyDescent="0.25">
      <c r="R157" s="664"/>
    </row>
    <row r="158" spans="18:18" s="26" customFormat="1" x14ac:dyDescent="0.25">
      <c r="R158" s="664"/>
    </row>
    <row r="159" spans="18:18" s="26" customFormat="1" x14ac:dyDescent="0.25">
      <c r="R159" s="664"/>
    </row>
    <row r="160" spans="18:18" s="26" customFormat="1" x14ac:dyDescent="0.25">
      <c r="R160" s="664"/>
    </row>
    <row r="161" spans="18:18" s="26" customFormat="1" x14ac:dyDescent="0.25">
      <c r="R161" s="664"/>
    </row>
    <row r="162" spans="18:18" s="26" customFormat="1" x14ac:dyDescent="0.25">
      <c r="R162" s="664"/>
    </row>
    <row r="163" spans="18:18" s="26" customFormat="1" x14ac:dyDescent="0.25">
      <c r="R163" s="664"/>
    </row>
    <row r="164" spans="18:18" s="26" customFormat="1" x14ac:dyDescent="0.25">
      <c r="R164" s="664"/>
    </row>
    <row r="165" spans="18:18" s="26" customFormat="1" x14ac:dyDescent="0.25">
      <c r="R165" s="664"/>
    </row>
    <row r="166" spans="18:18" s="26" customFormat="1" x14ac:dyDescent="0.25">
      <c r="R166" s="664"/>
    </row>
    <row r="167" spans="18:18" s="26" customFormat="1" x14ac:dyDescent="0.25">
      <c r="R167" s="664"/>
    </row>
    <row r="168" spans="18:18" s="26" customFormat="1" x14ac:dyDescent="0.25">
      <c r="R168" s="664"/>
    </row>
    <row r="169" spans="18:18" s="26" customFormat="1" x14ac:dyDescent="0.25">
      <c r="R169" s="664"/>
    </row>
  </sheetData>
  <sheetProtection algorithmName="SHA-512" hashValue="ErHLnAK5bGJD4403x2hqZOFVkDI2+NFdp5TKW9XG8OZzhP4dMdWCEx57CuL6gqTGi/aOemMpiOqpXdAlM3PL2w==" saltValue="oJrlwLBbi4TZfBZF7DrwJA==" spinCount="100000" sheet="1" formatRows="0"/>
  <mergeCells count="319">
    <mergeCell ref="D94:D95"/>
    <mergeCell ref="AE9:AG9"/>
    <mergeCell ref="AI9:AI10"/>
    <mergeCell ref="AH9:AH10"/>
    <mergeCell ref="D15:E15"/>
    <mergeCell ref="D14:E14"/>
    <mergeCell ref="D13:E13"/>
    <mergeCell ref="D12:E12"/>
    <mergeCell ref="D11:E11"/>
    <mergeCell ref="J88:K88"/>
    <mergeCell ref="H94:H95"/>
    <mergeCell ref="G94:G95"/>
    <mergeCell ref="D26:E26"/>
    <mergeCell ref="D25:E25"/>
    <mergeCell ref="D24:E24"/>
    <mergeCell ref="D23:E23"/>
    <mergeCell ref="M68:N68"/>
    <mergeCell ref="L66:L67"/>
    <mergeCell ref="M66:N67"/>
    <mergeCell ref="M80:N80"/>
    <mergeCell ref="M79:N79"/>
    <mergeCell ref="M78:N78"/>
    <mergeCell ref="M77:N77"/>
    <mergeCell ref="M76:N76"/>
    <mergeCell ref="M75:N75"/>
    <mergeCell ref="M74:N74"/>
    <mergeCell ref="M72:N72"/>
    <mergeCell ref="M71:N71"/>
    <mergeCell ref="M70:N70"/>
    <mergeCell ref="M69:N69"/>
    <mergeCell ref="M73:N73"/>
    <mergeCell ref="C2:D2"/>
    <mergeCell ref="C3:D3"/>
    <mergeCell ref="E38:G38"/>
    <mergeCell ref="D31:E31"/>
    <mergeCell ref="F25:H25"/>
    <mergeCell ref="F24:H24"/>
    <mergeCell ref="D30:E30"/>
    <mergeCell ref="D28:E28"/>
    <mergeCell ref="D27:E27"/>
    <mergeCell ref="F30:H30"/>
    <mergeCell ref="F29:H29"/>
    <mergeCell ref="F28:H28"/>
    <mergeCell ref="F27:H27"/>
    <mergeCell ref="D20:E20"/>
    <mergeCell ref="D19:E19"/>
    <mergeCell ref="D18:E18"/>
    <mergeCell ref="C9:E9"/>
    <mergeCell ref="C66:D66"/>
    <mergeCell ref="H66:H67"/>
    <mergeCell ref="E66:G66"/>
    <mergeCell ref="D22:E22"/>
    <mergeCell ref="D21:E21"/>
    <mergeCell ref="F51:G51"/>
    <mergeCell ref="F50:G50"/>
    <mergeCell ref="F49:G49"/>
    <mergeCell ref="F48:G48"/>
    <mergeCell ref="F42:G42"/>
    <mergeCell ref="F41:G41"/>
    <mergeCell ref="F40:G40"/>
    <mergeCell ref="F39:G39"/>
    <mergeCell ref="D29:E29"/>
    <mergeCell ref="F47:G47"/>
    <mergeCell ref="F46:G46"/>
    <mergeCell ref="F45:G45"/>
    <mergeCell ref="F44:G44"/>
    <mergeCell ref="F43:G43"/>
    <mergeCell ref="B9:B10"/>
    <mergeCell ref="F22:H22"/>
    <mergeCell ref="F21:H21"/>
    <mergeCell ref="F20:H20"/>
    <mergeCell ref="F19:H19"/>
    <mergeCell ref="F18:H18"/>
    <mergeCell ref="F52:G52"/>
    <mergeCell ref="D10:E10"/>
    <mergeCell ref="D17:E17"/>
    <mergeCell ref="D16:E16"/>
    <mergeCell ref="O66:P66"/>
    <mergeCell ref="I52:K52"/>
    <mergeCell ref="I58:K58"/>
    <mergeCell ref="I51:K51"/>
    <mergeCell ref="I43:K43"/>
    <mergeCell ref="I42:K42"/>
    <mergeCell ref="I41:K41"/>
    <mergeCell ref="I40:K40"/>
    <mergeCell ref="I44:K44"/>
    <mergeCell ref="I48:K48"/>
    <mergeCell ref="I47:K47"/>
    <mergeCell ref="I46:K46"/>
    <mergeCell ref="I45:K45"/>
    <mergeCell ref="I56:K56"/>
    <mergeCell ref="I55:K55"/>
    <mergeCell ref="I66:I67"/>
    <mergeCell ref="J66:K67"/>
    <mergeCell ref="L40:N40"/>
    <mergeCell ref="I61:K61"/>
    <mergeCell ref="L61:N61"/>
    <mergeCell ref="I54:K54"/>
    <mergeCell ref="L52:N52"/>
    <mergeCell ref="L43:N43"/>
    <mergeCell ref="R110:R137"/>
    <mergeCell ref="R138:R169"/>
    <mergeCell ref="B113:D113"/>
    <mergeCell ref="B114:D115"/>
    <mergeCell ref="B116:D117"/>
    <mergeCell ref="B118:D119"/>
    <mergeCell ref="B120:D121"/>
    <mergeCell ref="B122:D123"/>
    <mergeCell ref="B124:D125"/>
    <mergeCell ref="B126:D127"/>
    <mergeCell ref="B128:D129"/>
    <mergeCell ref="B130:D131"/>
    <mergeCell ref="F140:H140"/>
    <mergeCell ref="B138:E138"/>
    <mergeCell ref="B139:E139"/>
    <mergeCell ref="B140:E140"/>
    <mergeCell ref="B132:D133"/>
    <mergeCell ref="B137:E137"/>
    <mergeCell ref="B134:D135"/>
    <mergeCell ref="AE38:AF38"/>
    <mergeCell ref="F17:H17"/>
    <mergeCell ref="F16:H16"/>
    <mergeCell ref="F15:H15"/>
    <mergeCell ref="F14:H14"/>
    <mergeCell ref="F13:H13"/>
    <mergeCell ref="F12:H12"/>
    <mergeCell ref="F11:H11"/>
    <mergeCell ref="F26:H26"/>
    <mergeCell ref="R1:R32"/>
    <mergeCell ref="L38:N39"/>
    <mergeCell ref="F23:H23"/>
    <mergeCell ref="F2:H6"/>
    <mergeCell ref="F31:H31"/>
    <mergeCell ref="F9:H10"/>
    <mergeCell ref="H38:H39"/>
    <mergeCell ref="J2:M5"/>
    <mergeCell ref="T10:U10"/>
    <mergeCell ref="T11:U11"/>
    <mergeCell ref="T12:U12"/>
    <mergeCell ref="T13:U13"/>
    <mergeCell ref="T14:U14"/>
    <mergeCell ref="I33:N33"/>
    <mergeCell ref="I34:N34"/>
    <mergeCell ref="AG38:AH38"/>
    <mergeCell ref="O38:P38"/>
    <mergeCell ref="I60:K60"/>
    <mergeCell ref="L9:N9"/>
    <mergeCell ref="O9:P9"/>
    <mergeCell ref="I38:K39"/>
    <mergeCell ref="I49:K49"/>
    <mergeCell ref="I50:K50"/>
    <mergeCell ref="L49:N49"/>
    <mergeCell ref="I59:K59"/>
    <mergeCell ref="I57:K57"/>
    <mergeCell ref="L59:N59"/>
    <mergeCell ref="W38:X38"/>
    <mergeCell ref="Y38:AA38"/>
    <mergeCell ref="AB38:AD38"/>
    <mergeCell ref="L44:N44"/>
    <mergeCell ref="L45:N45"/>
    <mergeCell ref="L51:N51"/>
    <mergeCell ref="L50:N50"/>
    <mergeCell ref="I35:N35"/>
    <mergeCell ref="W9:X9"/>
    <mergeCell ref="Y9:AA9"/>
    <mergeCell ref="AB9:AD9"/>
    <mergeCell ref="I9:K9"/>
    <mergeCell ref="E109:I109"/>
    <mergeCell ref="E108:I108"/>
    <mergeCell ref="R65:R94"/>
    <mergeCell ref="R95:R109"/>
    <mergeCell ref="I94:P94"/>
    <mergeCell ref="A102:Q104"/>
    <mergeCell ref="L46:N46"/>
    <mergeCell ref="L47:N47"/>
    <mergeCell ref="L48:N48"/>
    <mergeCell ref="R35:R64"/>
    <mergeCell ref="L57:N57"/>
    <mergeCell ref="L58:N58"/>
    <mergeCell ref="J70:K70"/>
    <mergeCell ref="B109:D109"/>
    <mergeCell ref="B38:B39"/>
    <mergeCell ref="B94:C95"/>
    <mergeCell ref="B99:C99"/>
    <mergeCell ref="C38:D38"/>
    <mergeCell ref="B108:D108"/>
    <mergeCell ref="B98:C98"/>
    <mergeCell ref="B97:C97"/>
    <mergeCell ref="B96:C96"/>
    <mergeCell ref="L41:N41"/>
    <mergeCell ref="L42:N42"/>
    <mergeCell ref="E99:F99"/>
    <mergeCell ref="F60:G60"/>
    <mergeCell ref="F59:G59"/>
    <mergeCell ref="F58:G58"/>
    <mergeCell ref="L53:N53"/>
    <mergeCell ref="L54:N54"/>
    <mergeCell ref="L55:N55"/>
    <mergeCell ref="L56:N56"/>
    <mergeCell ref="L60:N60"/>
    <mergeCell ref="I62:N62"/>
    <mergeCell ref="J73:K73"/>
    <mergeCell ref="J74:K74"/>
    <mergeCell ref="J75:K75"/>
    <mergeCell ref="J71:K71"/>
    <mergeCell ref="J79:K79"/>
    <mergeCell ref="J77:K77"/>
    <mergeCell ref="J78:K78"/>
    <mergeCell ref="L99:N99"/>
    <mergeCell ref="L98:N98"/>
    <mergeCell ref="L97:N97"/>
    <mergeCell ref="L96:N96"/>
    <mergeCell ref="I99:K99"/>
    <mergeCell ref="J69:K69"/>
    <mergeCell ref="I53:K53"/>
    <mergeCell ref="J72:K72"/>
    <mergeCell ref="F57:G57"/>
    <mergeCell ref="F56:G56"/>
    <mergeCell ref="F55:G55"/>
    <mergeCell ref="F54:G54"/>
    <mergeCell ref="F53:G53"/>
    <mergeCell ref="J80:K80"/>
    <mergeCell ref="J81:K81"/>
    <mergeCell ref="J76:K76"/>
    <mergeCell ref="J68:K68"/>
    <mergeCell ref="F79:G79"/>
    <mergeCell ref="F78:G78"/>
    <mergeCell ref="F77:G77"/>
    <mergeCell ref="F76:G76"/>
    <mergeCell ref="F75:G75"/>
    <mergeCell ref="F74:G74"/>
    <mergeCell ref="F73:G73"/>
    <mergeCell ref="F72:G72"/>
    <mergeCell ref="F71:G71"/>
    <mergeCell ref="F70:G70"/>
    <mergeCell ref="F69:G69"/>
    <mergeCell ref="F68:G68"/>
    <mergeCell ref="F67:G67"/>
    <mergeCell ref="E94:F95"/>
    <mergeCell ref="F83:G83"/>
    <mergeCell ref="J87:K87"/>
    <mergeCell ref="F82:G82"/>
    <mergeCell ref="F81:G81"/>
    <mergeCell ref="F80:G80"/>
    <mergeCell ref="F88:G88"/>
    <mergeCell ref="F87:G87"/>
    <mergeCell ref="F86:G86"/>
    <mergeCell ref="F85:G85"/>
    <mergeCell ref="F84:G84"/>
    <mergeCell ref="E100:G100"/>
    <mergeCell ref="B66:B67"/>
    <mergeCell ref="M82:N82"/>
    <mergeCell ref="M81:N81"/>
    <mergeCell ref="I98:K98"/>
    <mergeCell ref="I97:K97"/>
    <mergeCell ref="I96:K96"/>
    <mergeCell ref="I95:K95"/>
    <mergeCell ref="J85:K85"/>
    <mergeCell ref="J86:K86"/>
    <mergeCell ref="J82:K82"/>
    <mergeCell ref="L95:N95"/>
    <mergeCell ref="J83:K83"/>
    <mergeCell ref="J84:K84"/>
    <mergeCell ref="M88:N88"/>
    <mergeCell ref="M87:N87"/>
    <mergeCell ref="M86:N86"/>
    <mergeCell ref="M85:N85"/>
    <mergeCell ref="M84:N84"/>
    <mergeCell ref="M83:N83"/>
    <mergeCell ref="M89:N89"/>
    <mergeCell ref="E98:F98"/>
    <mergeCell ref="E97:F97"/>
    <mergeCell ref="E96:F96"/>
    <mergeCell ref="T24:U24"/>
    <mergeCell ref="T25:U25"/>
    <mergeCell ref="T26:U26"/>
    <mergeCell ref="T27:U27"/>
    <mergeCell ref="T28:U28"/>
    <mergeCell ref="T29:U29"/>
    <mergeCell ref="T30:U30"/>
    <mergeCell ref="T31:U31"/>
    <mergeCell ref="T9:V9"/>
    <mergeCell ref="T15:U15"/>
    <mergeCell ref="T16:U16"/>
    <mergeCell ref="T17:U17"/>
    <mergeCell ref="T18:U18"/>
    <mergeCell ref="T19:U19"/>
    <mergeCell ref="T20:U20"/>
    <mergeCell ref="T21:U21"/>
    <mergeCell ref="T22:U22"/>
    <mergeCell ref="T23:U23"/>
    <mergeCell ref="T39:U39"/>
    <mergeCell ref="T38:V38"/>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AR66:AX66"/>
    <mergeCell ref="T56:U56"/>
    <mergeCell ref="T57:U57"/>
    <mergeCell ref="T58:U58"/>
    <mergeCell ref="T59:U59"/>
    <mergeCell ref="T60:U60"/>
    <mergeCell ref="T66:AD66"/>
    <mergeCell ref="AE66:AE67"/>
    <mergeCell ref="AQ66:AQ67"/>
    <mergeCell ref="AF66:AP66"/>
  </mergeCells>
  <phoneticPr fontId="21" type="noConversion"/>
  <conditionalFormatting sqref="E68:E88">
    <cfRule type="cellIs" dxfId="170" priority="19" operator="equal">
      <formula>"Enhancement not possible"</formula>
    </cfRule>
  </conditionalFormatting>
  <conditionalFormatting sqref="E108:E109">
    <cfRule type="containsText" dxfId="169" priority="102" operator="containsText" text="Error - Trading Rules Not Satisfied">
      <formula>NOT(ISERROR(SEARCH("Error - Trading Rules Not Satisfied",E108)))</formula>
    </cfRule>
    <cfRule type="containsText" dxfId="168" priority="101" operator="containsText" text="Trading Rules Satisfied">
      <formula>NOT(ISERROR(SEARCH("Trading Rules Satisfied",E108)))</formula>
    </cfRule>
  </conditionalFormatting>
  <conditionalFormatting sqref="E96:G98">
    <cfRule type="cellIs" dxfId="167" priority="20" operator="greaterThan">
      <formula>$D96</formula>
    </cfRule>
  </conditionalFormatting>
  <conditionalFormatting sqref="E100:G100">
    <cfRule type="containsText" dxfId="166" priority="8" operator="containsText" text="Error">
      <formula>NOT(ISERROR(SEARCH("Error",E100)))</formula>
    </cfRule>
  </conditionalFormatting>
  <conditionalFormatting sqref="F40:F59">
    <cfRule type="containsBlanks" dxfId="165" priority="34" stopIfTrue="1">
      <formula>LEN(TRIM(F40))=0</formula>
    </cfRule>
    <cfRule type="expression" dxfId="164" priority="35">
      <formula>ISNUMBER(SEARCH(F40,E40,1))</formula>
    </cfRule>
  </conditionalFormatting>
  <conditionalFormatting sqref="F68:G87">
    <cfRule type="containsText" dxfId="163" priority="1" operator="containsText" text="not possible">
      <formula>NOT(ISERROR(SEARCH("not possible",F68)))</formula>
    </cfRule>
    <cfRule type="expression" dxfId="162" priority="18">
      <formula>$D68=""</formula>
    </cfRule>
  </conditionalFormatting>
  <conditionalFormatting sqref="H88">
    <cfRule type="expression" dxfId="161" priority="22">
      <formula>$D88=""</formula>
    </cfRule>
  </conditionalFormatting>
  <conditionalFormatting sqref="I89">
    <cfRule type="expression" dxfId="160" priority="76">
      <formula>"p18=""Avoid"""</formula>
    </cfRule>
    <cfRule type="cellIs" dxfId="159" priority="74" operator="equal">
      <formula>"Any loss Unacceptable"</formula>
    </cfRule>
  </conditionalFormatting>
  <conditionalFormatting sqref="I114:I135">
    <cfRule type="containsText" dxfId="158" priority="5" operator="containsText" text="Yes">
      <formula>NOT(ISERROR(SEARCH("Yes",I114)))</formula>
    </cfRule>
    <cfRule type="containsText" dxfId="157" priority="6" operator="containsText" text="No">
      <formula>NOT(ISERROR(SEARCH("No",I114)))</formula>
    </cfRule>
  </conditionalFormatting>
  <conditionalFormatting sqref="I138:I140">
    <cfRule type="containsText" dxfId="156" priority="100" operator="containsText" text="No">
      <formula>NOT(ISERROR(SEARCH("No",I138)))</formula>
    </cfRule>
    <cfRule type="containsText" dxfId="155" priority="99" operator="containsText" text="Yes">
      <formula>NOT(ISERROR(SEARCH("Yes",I138)))</formula>
    </cfRule>
  </conditionalFormatting>
  <conditionalFormatting sqref="I33:N35">
    <cfRule type="containsText" dxfId="154" priority="40" operator="containsText" text="error">
      <formula>NOT(ISERROR(SEARCH("error",I33)))</formula>
    </cfRule>
    <cfRule type="containsText" dxfId="153" priority="41" operator="containsText" text="acceptable">
      <formula>NOT(ISERROR(SEARCH("acceptable",I33)))</formula>
    </cfRule>
  </conditionalFormatting>
  <conditionalFormatting sqref="I62:N62">
    <cfRule type="containsText" dxfId="152" priority="38" operator="containsText" text="error">
      <formula>NOT(ISERROR(SEARCH("error",I62)))</formula>
    </cfRule>
    <cfRule type="containsText" dxfId="151" priority="39" operator="containsText" text="acceptable">
      <formula>NOT(ISERROR(SEARCH("acceptable",I62)))</formula>
    </cfRule>
  </conditionalFormatting>
  <conditionalFormatting sqref="J2 O6:P6">
    <cfRule type="containsText" dxfId="150" priority="37" operator="containsText" text="Errors Present On Sheet">
      <formula>NOT(ISERROR(SEARCH("Errors Present On Sheet",J2)))</formula>
    </cfRule>
  </conditionalFormatting>
  <conditionalFormatting sqref="J2">
    <cfRule type="containsText" dxfId="149" priority="9" operator="containsText" text="Technical">
      <formula>NOT(ISERROR(SEARCH("Technical",J2)))</formula>
    </cfRule>
  </conditionalFormatting>
  <conditionalFormatting sqref="J68:K87">
    <cfRule type="containsText" dxfId="148" priority="2" operator="containsText" text="Error ▲">
      <formula>NOT(ISERROR(SEARCH("Error ▲",J68)))</formula>
    </cfRule>
  </conditionalFormatting>
  <conditionalFormatting sqref="K11:K30">
    <cfRule type="expression" dxfId="147" priority="47">
      <formula>$AI11="Enhancement not possible"</formula>
    </cfRule>
  </conditionalFormatting>
  <conditionalFormatting sqref="L11:L30">
    <cfRule type="containsText" dxfId="146" priority="10" operator="containsText" text="▲">
      <formula>NOT(ISERROR(SEARCH("▲",L11)))</formula>
    </cfRule>
    <cfRule type="containsText" dxfId="145" priority="16" operator="containsText" text="value">
      <formula>NOT(ISERROR(SEARCH("value",L11)))</formula>
    </cfRule>
  </conditionalFormatting>
  <conditionalFormatting sqref="L68:L88">
    <cfRule type="containsText" dxfId="144" priority="11" operator="containsText" text="▲">
      <formula>NOT(ISERROR(SEARCH("▲",L68)))</formula>
    </cfRule>
  </conditionalFormatting>
  <conditionalFormatting sqref="L89">
    <cfRule type="expression" dxfId="143" priority="73">
      <formula>"p18=""Avoid"""</formula>
    </cfRule>
    <cfRule type="cellIs" dxfId="142" priority="71" operator="equal">
      <formula>"Any loss Unacceptable"</formula>
    </cfRule>
  </conditionalFormatting>
  <conditionalFormatting sqref="L11:M30">
    <cfRule type="expression" dxfId="141" priority="167">
      <formula>"p18=""Avoid"""</formula>
    </cfRule>
    <cfRule type="cellIs" dxfId="140" priority="165" operator="equal">
      <formula>"Any loss Unacceptable"</formula>
    </cfRule>
  </conditionalFormatting>
  <conditionalFormatting sqref="L31:M31">
    <cfRule type="cellIs" dxfId="139" priority="83" operator="equal">
      <formula>"Compensation Agreed"</formula>
    </cfRule>
    <cfRule type="cellIs" dxfId="138" priority="81" operator="equal">
      <formula>"Alternative Compensation"</formula>
    </cfRule>
    <cfRule type="cellIs" dxfId="137" priority="82" operator="equal">
      <formula>"Unacceptable Loss"</formula>
    </cfRule>
  </conditionalFormatting>
  <conditionalFormatting sqref="L40:M60">
    <cfRule type="cellIs" dxfId="136" priority="90" operator="equal">
      <formula>"Alternative Compensation"</formula>
    </cfRule>
    <cfRule type="cellIs" dxfId="135" priority="91" operator="equal">
      <formula>"Unacceptable Loss"</formula>
    </cfRule>
    <cfRule type="cellIs" dxfId="134" priority="92" operator="equal">
      <formula>"Compensation Agreed"</formula>
    </cfRule>
  </conditionalFormatting>
  <conditionalFormatting sqref="L68:M88">
    <cfRule type="cellIs" dxfId="133" priority="48" operator="equal">
      <formula>"Alternative Compensation"</formula>
    </cfRule>
    <cfRule type="cellIs" dxfId="132" priority="50" operator="equal">
      <formula>"Compensation Agreed"</formula>
    </cfRule>
    <cfRule type="cellIs" dxfId="131" priority="49" operator="equal">
      <formula>"Unacceptable Loss"</formula>
    </cfRule>
  </conditionalFormatting>
  <conditionalFormatting sqref="L40:N59">
    <cfRule type="containsText" dxfId="130" priority="12" operator="containsText" text="▲">
      <formula>NOT(ISERROR(SEARCH("▲",L40)))</formula>
    </cfRule>
    <cfRule type="containsText" dxfId="129" priority="13" operator="containsText" text="value">
      <formula>NOT(ISERROR(SEARCH("value",L40)))</formula>
    </cfRule>
  </conditionalFormatting>
  <conditionalFormatting sqref="L96:O98">
    <cfRule type="containsText" dxfId="128" priority="7" operator="containsText" text="Error">
      <formula>NOT(ISERROR(SEARCH("Error",L96)))</formula>
    </cfRule>
  </conditionalFormatting>
  <conditionalFormatting sqref="M11:N30">
    <cfRule type="containsText" dxfId="127" priority="17" operator="containsText" text="error">
      <formula>NOT(ISERROR(SEARCH("error",M11)))</formula>
    </cfRule>
  </conditionalFormatting>
  <conditionalFormatting sqref="M68:N87">
    <cfRule type="containsText" dxfId="126" priority="3" operator="containsText" text="Error ▲">
      <formula>NOT(ISERROR(SEARCH("Error ▲",M68)))</formula>
    </cfRule>
  </conditionalFormatting>
  <conditionalFormatting sqref="N11:N30">
    <cfRule type="containsText" dxfId="125" priority="14" operator="containsText" text="▲">
      <formula>NOT(ISERROR(SEARCH("▲",N11)))</formula>
    </cfRule>
    <cfRule type="cellIs" dxfId="124" priority="149" operator="equal">
      <formula>"Alternative Compensation"</formula>
    </cfRule>
    <cfRule type="cellIs" dxfId="123" priority="154" operator="equal">
      <formula>"Unacceptable Loss"</formula>
    </cfRule>
    <cfRule type="cellIs" dxfId="122" priority="155" operator="equal">
      <formula>"Compensation Agreed"</formula>
    </cfRule>
    <cfRule type="cellIs" dxfId="121" priority="156" operator="equal">
      <formula>"Unacceptable Loss"</formula>
    </cfRule>
  </conditionalFormatting>
  <conditionalFormatting sqref="P1:P5">
    <cfRule type="containsText" dxfId="120" priority="4" operator="containsText" text="Error ▲">
      <formula>NOT(ISERROR(SEARCH("Error ▲",P1)))</formula>
    </cfRule>
  </conditionalFormatting>
  <conditionalFormatting sqref="X11:X31">
    <cfRule type="cellIs" dxfId="119" priority="191" operator="equal">
      <formula>"Not Possible"</formula>
    </cfRule>
  </conditionalFormatting>
  <conditionalFormatting sqref="X40:X60">
    <cfRule type="cellIs" dxfId="118" priority="77" operator="equal">
      <formula>"Not Possible"</formula>
    </cfRule>
  </conditionalFormatting>
  <conditionalFormatting sqref="AG11:AG31">
    <cfRule type="cellIs" dxfId="117" priority="169" operator="equal">
      <formula>"Unacceptable Loss"</formula>
    </cfRule>
  </conditionalFormatting>
  <conditionalFormatting sqref="AJ68:AJ88">
    <cfRule type="cellIs" dxfId="116" priority="69" operator="equal">
      <formula>"Not Possible"</formula>
    </cfRule>
  </conditionalFormatting>
  <dataValidations count="3">
    <dataValidation type="list" allowBlank="1" showInputMessage="1" showErrorMessage="1" sqref="D40:D59 D11:E30" xr:uid="{29295E1B-B708-4FFC-AEA7-0A542EBB8F9C}">
      <formula1>INDIRECT(SUBSTITUTE(C11," ",""))</formula1>
    </dataValidation>
    <dataValidation type="list" allowBlank="1" showInputMessage="1" showErrorMessage="1" sqref="BX63" xr:uid="{CA39F4B1-099E-4977-996D-6C6132E5EF56}">
      <formula1>INDIRECT("BV68:BV"&amp;BV63+67)</formula1>
    </dataValidation>
    <dataValidation type="list" allowBlank="1" showInputMessage="1" showErrorMessage="1" sqref="F68:G87" xr:uid="{D9BE6C4E-D2E3-4727-A306-B5E377667653}">
      <formula1>INDIRECT(BV68)</formula1>
    </dataValidation>
  </dataValidations>
  <pageMargins left="0.7" right="0.7" top="0.75" bottom="0.75" header="0.3" footer="0.3"/>
  <pageSetup paperSize="9" scale="2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DEEC304-660C-4352-BCED-E423A4D84715}">
          <x14:formula1>
            <xm:f>'11. Lists'!$A$2:$A$11</xm:f>
          </x14:formula1>
          <xm:sqref>C40:C59 C11:C30</xm:sqref>
        </x14:dataValidation>
        <x14:dataValidation type="list" allowBlank="1" showInputMessage="1" showErrorMessage="1" xr:uid="{6A0E90FD-C45C-4EEE-94A0-6C0B179AC7A4}">
          <x14:formula1>
            <xm:f>'11. Lists'!$F$36:$F$37</xm:f>
          </x14:formula1>
          <xm:sqref>H40:H60 F11:H31 H68:H88</xm:sqref>
        </x14:dataValidation>
        <x14:dataValidation type="list" allowBlank="1" showInputMessage="1" showErrorMessage="1" xr:uid="{753D403C-FC57-4E7C-B04C-0535AA9E9FAF}">
          <x14:formula1>
            <xm:f>'11. Lists'!$F$47:$F$51</xm:f>
          </x14:formula1>
          <xm:sqref>F41:G59 F40:G40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3631-8921-4865-916B-1CF388715C68}">
  <sheetPr codeName="Sheet3">
    <tabColor rgb="FF663300"/>
    <pageSetUpPr fitToPage="1"/>
  </sheetPr>
  <dimension ref="A1:CB140"/>
  <sheetViews>
    <sheetView zoomScale="80" zoomScaleNormal="80" workbookViewId="0"/>
  </sheetViews>
  <sheetFormatPr defaultColWidth="0" defaultRowHeight="15" zeroHeight="1" x14ac:dyDescent="0.25"/>
  <cols>
    <col min="1" max="1" width="4.5703125" customWidth="1"/>
    <col min="2" max="2" width="14.85546875" customWidth="1"/>
    <col min="3" max="3" width="24.42578125" bestFit="1" customWidth="1"/>
    <col min="4" max="4" width="40.140625" customWidth="1"/>
    <col min="5" max="5" width="27" customWidth="1"/>
    <col min="6" max="6" width="18.5703125" customWidth="1"/>
    <col min="7" max="7" width="39.7109375" customWidth="1"/>
    <col min="8" max="8" width="49.28515625" bestFit="1" customWidth="1"/>
    <col min="9" max="9" width="14.5703125" customWidth="1"/>
    <col min="10" max="10" width="12.7109375" customWidth="1"/>
    <col min="11" max="11" width="11.42578125" customWidth="1"/>
    <col min="12" max="12" width="13" customWidth="1"/>
    <col min="13" max="14" width="11.42578125" customWidth="1"/>
    <col min="15" max="16" width="27" customWidth="1"/>
    <col min="17" max="18" width="11.42578125" customWidth="1"/>
    <col min="19" max="19" width="2.5703125" customWidth="1"/>
    <col min="20" max="20" width="16.7109375" customWidth="1"/>
    <col min="21" max="21" width="14.85546875" customWidth="1"/>
    <col min="22" max="22" width="20.7109375" bestFit="1" customWidth="1"/>
    <col min="23" max="23" width="23.7109375" customWidth="1"/>
    <col min="24" max="24" width="16.85546875" bestFit="1" customWidth="1"/>
    <col min="25" max="25" width="14" hidden="1" customWidth="1"/>
    <col min="26" max="26" width="22" hidden="1" customWidth="1"/>
    <col min="27" max="27" width="14" hidden="1" customWidth="1"/>
    <col min="28" max="28" width="33.7109375" customWidth="1"/>
    <col min="29" max="30" width="32.7109375" customWidth="1"/>
    <col min="31" max="31" width="18.7109375" customWidth="1"/>
    <col min="32" max="32" width="23.7109375" customWidth="1"/>
    <col min="33" max="33" width="16.7109375" customWidth="1"/>
    <col min="34" max="34" width="65.7109375" bestFit="1" customWidth="1"/>
    <col min="35" max="35" width="207" bestFit="1" customWidth="1"/>
    <col min="36" max="36" width="23.5703125" customWidth="1"/>
    <col min="37" max="37" width="23.5703125" hidden="1" customWidth="1"/>
    <col min="38" max="38" width="16.7109375" hidden="1" customWidth="1"/>
    <col min="39" max="39" width="13.28515625" hidden="1" customWidth="1"/>
    <col min="40" max="40" width="12.28515625" customWidth="1"/>
    <col min="41" max="41" width="34.140625" bestFit="1" customWidth="1"/>
    <col min="42" max="42" width="19.7109375" bestFit="1" customWidth="1"/>
    <col min="43" max="43" width="16.28515625" bestFit="1" customWidth="1"/>
    <col min="44" max="47" width="27.28515625" customWidth="1"/>
    <col min="48" max="48" width="21.140625" bestFit="1" customWidth="1"/>
    <col min="49" max="49" width="23.28515625" bestFit="1" customWidth="1"/>
    <col min="50" max="50" width="68.28515625" customWidth="1"/>
    <col min="51" max="51" width="23.28515625" customWidth="1"/>
    <col min="52" max="52" width="24.42578125" customWidth="1"/>
    <col min="53" max="53" width="18.7109375" customWidth="1"/>
    <col min="54" max="73" width="31.7109375" customWidth="1"/>
    <col min="74" max="74" width="15.5703125" customWidth="1"/>
    <col min="75" max="80" width="8.85546875" customWidth="1"/>
    <col min="81" max="16384" width="8.85546875" hidden="1"/>
  </cols>
  <sheetData>
    <row r="1" spans="1:35" s="26" customFormat="1" ht="15.75" customHeight="1" thickBot="1" x14ac:dyDescent="0.3">
      <c r="I1" s="53"/>
      <c r="J1" s="53"/>
      <c r="K1" s="53"/>
      <c r="L1" s="53"/>
      <c r="M1" s="53"/>
      <c r="N1" s="53"/>
      <c r="O1" s="160" t="s">
        <v>44</v>
      </c>
      <c r="P1" s="311">
        <f>IFERROR(SUM(AE11:AE30), "Error ▲")</f>
        <v>0</v>
      </c>
      <c r="R1" s="664" t="s">
        <v>45</v>
      </c>
      <c r="T1" s="27"/>
    </row>
    <row r="2" spans="1:35" s="26" customFormat="1" ht="19.899999999999999" customHeight="1" x14ac:dyDescent="0.3">
      <c r="B2" s="81" t="s">
        <v>1011</v>
      </c>
      <c r="C2" s="764" t="str">
        <f>IF('2. Site Details'!D4="","Enter site name on 2. Site Details",'2. Site Details'!D4)</f>
        <v>Land to Rear of 32 Church Street, Weldon</v>
      </c>
      <c r="D2" s="765"/>
      <c r="F2" s="706" t="s">
        <v>997</v>
      </c>
      <c r="G2" s="707"/>
      <c r="H2" s="708"/>
      <c r="I2" s="53"/>
      <c r="J2" s="719" t="str">
        <f>IFERROR(IF(SUM(O32:O33,J103:J106,J109:J111)&gt;0,"Rule Based Errors Present On Sheet - Red Cells Or ▲ Highlight Errors","All Key Rules Satisfied 🗸"),"Technical Errors On Sheet")</f>
        <v>All Key Rules Satisfied 🗸</v>
      </c>
      <c r="K2" s="719"/>
      <c r="L2" s="719"/>
      <c r="M2" s="719"/>
      <c r="N2" s="82"/>
      <c r="O2" s="84" t="s">
        <v>46</v>
      </c>
      <c r="P2" s="311">
        <f>IFERROR(N31, "Error ▲")</f>
        <v>0</v>
      </c>
      <c r="R2" s="664"/>
      <c r="T2" s="27"/>
    </row>
    <row r="3" spans="1:35" s="26" customFormat="1" ht="19.899999999999999" customHeight="1" thickBot="1" x14ac:dyDescent="0.35">
      <c r="B3" s="83" t="s">
        <v>7</v>
      </c>
      <c r="C3" s="766" t="s">
        <v>989</v>
      </c>
      <c r="D3" s="767"/>
      <c r="F3" s="709"/>
      <c r="G3" s="710"/>
      <c r="H3" s="711"/>
      <c r="I3" s="53"/>
      <c r="J3" s="719"/>
      <c r="K3" s="719"/>
      <c r="L3" s="719"/>
      <c r="M3" s="719"/>
      <c r="N3" s="82"/>
      <c r="O3" s="84" t="s">
        <v>47</v>
      </c>
      <c r="P3" s="311">
        <f>IFERROR(L59, "Error ▲")</f>
        <v>0</v>
      </c>
      <c r="R3" s="664"/>
      <c r="T3" s="27"/>
    </row>
    <row r="4" spans="1:35" s="26" customFormat="1" ht="19.899999999999999" customHeight="1" x14ac:dyDescent="0.25">
      <c r="B4" s="85"/>
      <c r="C4" s="85"/>
      <c r="D4" s="85"/>
      <c r="F4" s="709"/>
      <c r="G4" s="710"/>
      <c r="H4" s="711"/>
      <c r="I4" s="53"/>
      <c r="J4" s="719"/>
      <c r="K4" s="719"/>
      <c r="L4" s="719"/>
      <c r="M4" s="719"/>
      <c r="N4" s="82"/>
      <c r="O4" s="84" t="s">
        <v>48</v>
      </c>
      <c r="P4" s="311">
        <f>IFERROR(L86, "Error ▲")</f>
        <v>0</v>
      </c>
      <c r="R4" s="664"/>
      <c r="T4" s="27"/>
    </row>
    <row r="5" spans="1:35" s="26" customFormat="1" ht="19.899999999999999" customHeight="1" thickBot="1" x14ac:dyDescent="0.3">
      <c r="A5" s="86"/>
      <c r="F5" s="709"/>
      <c r="G5" s="710"/>
      <c r="H5" s="711"/>
      <c r="I5" s="53"/>
      <c r="J5" s="719"/>
      <c r="K5" s="719"/>
      <c r="L5" s="719"/>
      <c r="M5" s="719"/>
      <c r="N5" s="82"/>
      <c r="O5" s="87" t="s">
        <v>49</v>
      </c>
      <c r="P5" s="312">
        <f>IFERROR(P1+L59+L86-L31, "Error ▲")</f>
        <v>0</v>
      </c>
      <c r="R5" s="664"/>
      <c r="T5" s="27"/>
    </row>
    <row r="6" spans="1:35" s="26" customFormat="1" ht="13.15" customHeight="1" thickBot="1" x14ac:dyDescent="0.3">
      <c r="A6" s="86"/>
      <c r="F6" s="712"/>
      <c r="G6" s="713"/>
      <c r="H6" s="714"/>
      <c r="I6" s="53"/>
      <c r="J6" s="53"/>
      <c r="K6" s="53"/>
      <c r="L6" s="53"/>
      <c r="M6" s="53"/>
      <c r="N6" s="53"/>
      <c r="O6" s="88"/>
      <c r="P6" s="88"/>
      <c r="R6" s="664"/>
      <c r="T6" s="27"/>
    </row>
    <row r="7" spans="1:35" s="26" customFormat="1" ht="19.149999999999999" customHeight="1" x14ac:dyDescent="0.35">
      <c r="B7" s="58" t="s">
        <v>50</v>
      </c>
      <c r="D7" s="89"/>
      <c r="H7" s="27"/>
      <c r="K7" s="27"/>
      <c r="L7" s="31"/>
      <c r="M7" s="31"/>
      <c r="N7" s="31"/>
      <c r="R7" s="664"/>
      <c r="T7" s="27"/>
    </row>
    <row r="8" spans="1:35" s="26" customFormat="1" ht="10.9" customHeight="1" thickBot="1" x14ac:dyDescent="0.3">
      <c r="A8" s="90"/>
      <c r="R8" s="664"/>
    </row>
    <row r="9" spans="1:35" s="26" customFormat="1" ht="29.45" customHeight="1" x14ac:dyDescent="0.25">
      <c r="A9" s="90"/>
      <c r="B9" s="672" t="s">
        <v>39</v>
      </c>
      <c r="C9" s="674" t="s">
        <v>51</v>
      </c>
      <c r="D9" s="679"/>
      <c r="E9" s="687"/>
      <c r="F9" s="692" t="s">
        <v>52</v>
      </c>
      <c r="G9" s="693"/>
      <c r="H9" s="694"/>
      <c r="I9" s="674" t="s">
        <v>1000</v>
      </c>
      <c r="J9" s="679"/>
      <c r="K9" s="687"/>
      <c r="L9" s="691" t="s">
        <v>53</v>
      </c>
      <c r="M9" s="666"/>
      <c r="N9" s="667"/>
      <c r="O9" s="691" t="s">
        <v>54</v>
      </c>
      <c r="P9" s="667"/>
      <c r="R9" s="664"/>
      <c r="T9" s="603" t="s">
        <v>55</v>
      </c>
      <c r="U9" s="604"/>
      <c r="V9" s="836"/>
      <c r="W9" s="603" t="s">
        <v>56</v>
      </c>
      <c r="X9" s="605"/>
      <c r="Y9" s="699"/>
      <c r="Z9" s="699"/>
      <c r="AA9" s="699"/>
      <c r="AB9" s="698" t="s">
        <v>57</v>
      </c>
      <c r="AC9" s="604"/>
      <c r="AD9" s="605"/>
      <c r="AE9" s="603" t="s">
        <v>58</v>
      </c>
      <c r="AF9" s="604"/>
      <c r="AG9" s="605"/>
      <c r="AH9" s="603" t="s">
        <v>59</v>
      </c>
      <c r="AI9" s="605" t="s">
        <v>60</v>
      </c>
    </row>
    <row r="10" spans="1:35" s="26" customFormat="1" ht="32.450000000000003" customHeight="1" thickBot="1" x14ac:dyDescent="0.3">
      <c r="A10" s="90"/>
      <c r="B10" s="673"/>
      <c r="C10" s="87" t="s">
        <v>61</v>
      </c>
      <c r="D10" s="616" t="s">
        <v>62</v>
      </c>
      <c r="E10" s="829"/>
      <c r="F10" s="695"/>
      <c r="G10" s="696"/>
      <c r="H10" s="697"/>
      <c r="I10" s="87" t="s">
        <v>189</v>
      </c>
      <c r="J10" s="218" t="s">
        <v>190</v>
      </c>
      <c r="K10" s="91" t="s">
        <v>191</v>
      </c>
      <c r="L10" s="457" t="s">
        <v>192</v>
      </c>
      <c r="M10" s="458" t="s">
        <v>193</v>
      </c>
      <c r="N10" s="459" t="s">
        <v>68</v>
      </c>
      <c r="O10" s="87" t="s">
        <v>69</v>
      </c>
      <c r="P10" s="91" t="s">
        <v>70</v>
      </c>
      <c r="R10" s="664"/>
      <c r="T10" s="601" t="s">
        <v>71</v>
      </c>
      <c r="U10" s="602"/>
      <c r="V10" s="390" t="s">
        <v>72</v>
      </c>
      <c r="W10" s="92" t="s">
        <v>73</v>
      </c>
      <c r="X10" s="93" t="s">
        <v>72</v>
      </c>
      <c r="Y10" s="395"/>
      <c r="Z10" s="395"/>
      <c r="AA10" s="395"/>
      <c r="AB10" s="383" t="s">
        <v>57</v>
      </c>
      <c r="AC10" s="50" t="s">
        <v>57</v>
      </c>
      <c r="AD10" s="93" t="s">
        <v>74</v>
      </c>
      <c r="AE10" s="92" t="s">
        <v>75</v>
      </c>
      <c r="AF10" s="50" t="s">
        <v>76</v>
      </c>
      <c r="AG10" s="93" t="s">
        <v>77</v>
      </c>
      <c r="AH10" s="601"/>
      <c r="AI10" s="773"/>
    </row>
    <row r="11" spans="1:35" s="26" customFormat="1" ht="30" x14ac:dyDescent="0.25">
      <c r="A11" s="90"/>
      <c r="B11" s="304">
        <v>1</v>
      </c>
      <c r="C11" s="443" t="s">
        <v>954</v>
      </c>
      <c r="D11" s="785"/>
      <c r="E11" s="786"/>
      <c r="F11" s="830"/>
      <c r="G11" s="831"/>
      <c r="H11" s="832"/>
      <c r="I11" s="348"/>
      <c r="J11" s="349"/>
      <c r="K11" s="350"/>
      <c r="L11" s="341" t="str">
        <f>IF(D11="","",IFERROR(IF(I11="","",((I11/1000)*V11*X11)*AD11),"This intervention is not permitted within the SSM ▲"))</f>
        <v/>
      </c>
      <c r="M11" s="360" t="str">
        <f>IF(I11="","",IF(J11+K11&gt;I11,"Length Error ▲",I11-J11-K11))</f>
        <v/>
      </c>
      <c r="N11" s="342" t="str">
        <f>IFERROR(IF(I11="","",IF(M11="Length Error ▲","Length Error ▲",((M11/1000)*V11*X11)*AD11)),"This intervention is not permitted within the SSM ▲")</f>
        <v/>
      </c>
      <c r="O11" s="149"/>
      <c r="P11" s="150"/>
      <c r="R11" s="664"/>
      <c r="T11" s="593" t="str">
        <f>IF(D11="","",VLOOKUP(D11,'9. All Habitats + Multipliers'!$C$4:$K$102,5,FALSE))</f>
        <v/>
      </c>
      <c r="U11" s="594"/>
      <c r="V11" s="393" t="str">
        <f>IF(T11="","",VLOOKUP(T11,'11. Lists'!$S$47:$U$50,2,FALSE))</f>
        <v/>
      </c>
      <c r="W11" s="94" t="str">
        <f>IF(D11="","",VLOOKUP(D11,'10. Condition and Temporal'!$B$6:$C$103,2,FALSE))</f>
        <v/>
      </c>
      <c r="X11" s="95" t="str">
        <f>IF(W11="","",VLOOKUP(W11,'11. Lists'!$F$47:$G$51,2,FALSE))</f>
        <v/>
      </c>
      <c r="Y11" s="49"/>
      <c r="Z11" s="49"/>
      <c r="AA11" s="49"/>
      <c r="AB11" s="205" t="str">
        <f>IF(F11="","",F11)</f>
        <v/>
      </c>
      <c r="AC11" s="96" t="str">
        <f>IF(AB11="","",VLOOKUP(AB11,'11. Lists'!$F$36:$H$38,2,FALSE))</f>
        <v/>
      </c>
      <c r="AD11" s="95" t="str">
        <f>IF(AB11="","",VLOOKUP(AB11,'11. Lists'!$F$36:$H$38,3,FALSE))</f>
        <v/>
      </c>
      <c r="AE11" s="344" t="str">
        <f>IF(D11="","",((J11/1000)*V11*X11)*AD11)</f>
        <v/>
      </c>
      <c r="AF11" s="345" t="str">
        <f>IF(D11="","",((K11/1000)*V11*X11)*AD11)</f>
        <v/>
      </c>
      <c r="AG11" s="98" t="str">
        <f>IF(D11="","",M11)</f>
        <v/>
      </c>
      <c r="AH11" s="94" t="str">
        <f>IF(T11="","",VLOOKUP(T11,'11. Lists'!$B$47:$D$49,3,FALSE))</f>
        <v/>
      </c>
      <c r="AI11" s="95" t="str">
        <f>IF(D11="","",VLOOKUP(D11,'10. Condition and Temporal'!$B$6:$L$103,4,FALSE))</f>
        <v/>
      </c>
    </row>
    <row r="12" spans="1:35" s="26" customFormat="1" ht="30" x14ac:dyDescent="0.25">
      <c r="B12" s="298">
        <v>2</v>
      </c>
      <c r="C12" s="443" t="s">
        <v>954</v>
      </c>
      <c r="D12" s="632"/>
      <c r="E12" s="633"/>
      <c r="F12" s="833"/>
      <c r="G12" s="834"/>
      <c r="H12" s="835"/>
      <c r="I12" s="351"/>
      <c r="J12" s="352"/>
      <c r="K12" s="353"/>
      <c r="L12" s="340" t="str">
        <f t="shared" ref="L12:L30" si="0">IF(D12="","",IFERROR(IF(I12="","",((I12/1000)*V12*X12)*AD12),"This intervention is not permitted within the SSM ▲"))</f>
        <v/>
      </c>
      <c r="M12" s="347" t="str">
        <f t="shared" ref="M12:M30" si="1">IF(I12="","",IF(J12+K12&gt;I12,"Length Error ▲",I12-J12-K12))</f>
        <v/>
      </c>
      <c r="N12" s="336" t="str">
        <f t="shared" ref="N12:N30" si="2">IFERROR(IF(I12="","",IF(M12="Length Error ▲","Length Error ▲",((M12/1000)*V12*X12)*AD12)),"This intervention is not permitted within the SSM ▲")</f>
        <v/>
      </c>
      <c r="O12" s="69"/>
      <c r="P12" s="3"/>
      <c r="R12" s="664"/>
      <c r="T12" s="593" t="str">
        <f>IF(D12="","",VLOOKUP(D12,'9. All Habitats + Multipliers'!$C$4:$K$102,5,FALSE))</f>
        <v/>
      </c>
      <c r="U12" s="594"/>
      <c r="V12" s="393" t="str">
        <f>IF(T12="","",VLOOKUP(T12,'11. Lists'!$S$47:$U$50,2,FALSE))</f>
        <v/>
      </c>
      <c r="W12" s="94" t="str">
        <f>IF(D12="","",VLOOKUP(D12,'10. Condition and Temporal'!$B$6:$C$103,2,FALSE))</f>
        <v/>
      </c>
      <c r="X12" s="95" t="str">
        <f>IF(W12="","",VLOOKUP(W12,'11. Lists'!$F$47:$G$51,2,FALSE))</f>
        <v/>
      </c>
      <c r="Y12" s="49"/>
      <c r="Z12" s="49"/>
      <c r="AA12" s="49"/>
      <c r="AB12" s="205" t="str">
        <f>IF(F12="","",F12)</f>
        <v/>
      </c>
      <c r="AC12" s="96" t="str">
        <f>IF(AB12="","",VLOOKUP(AB12,'11. Lists'!$F$36:$H$38,2,FALSE))</f>
        <v/>
      </c>
      <c r="AD12" s="95" t="str">
        <f>IF(AB12="","",VLOOKUP(AB12,'11. Lists'!$F$36:$H$38,3,FALSE))</f>
        <v/>
      </c>
      <c r="AE12" s="344" t="str">
        <f t="shared" ref="AE12:AE30" si="3">IF(D12="","",((J12/1000)*V12*X12)*AD12)</f>
        <v/>
      </c>
      <c r="AF12" s="345" t="str">
        <f t="shared" ref="AF12:AF30" si="4">IF(D12="","",((K12/1000)*V12*X12)*AD12)</f>
        <v/>
      </c>
      <c r="AG12" s="98" t="str">
        <f t="shared" ref="AG12:AG30" si="5">IF(D12="","",M12)</f>
        <v/>
      </c>
      <c r="AH12" s="94" t="str">
        <f>IF(T12="","",VLOOKUP(T12,'11. Lists'!$B$47:$D$49,3,FALSE))</f>
        <v/>
      </c>
      <c r="AI12" s="95" t="str">
        <f>IF(D12="","",VLOOKUP(D12,'10. Condition and Temporal'!$B$6:$L$103,4,FALSE))</f>
        <v/>
      </c>
    </row>
    <row r="13" spans="1:35" s="26" customFormat="1" ht="30" x14ac:dyDescent="0.25">
      <c r="B13" s="298">
        <v>3</v>
      </c>
      <c r="C13" s="443" t="s">
        <v>954</v>
      </c>
      <c r="D13" s="632"/>
      <c r="E13" s="633"/>
      <c r="F13" s="833"/>
      <c r="G13" s="834"/>
      <c r="H13" s="835"/>
      <c r="I13" s="351"/>
      <c r="J13" s="352"/>
      <c r="K13" s="353"/>
      <c r="L13" s="340" t="str">
        <f t="shared" si="0"/>
        <v/>
      </c>
      <c r="M13" s="347" t="str">
        <f t="shared" si="1"/>
        <v/>
      </c>
      <c r="N13" s="336" t="str">
        <f t="shared" si="2"/>
        <v/>
      </c>
      <c r="O13" s="322"/>
      <c r="P13" s="3"/>
      <c r="R13" s="664"/>
      <c r="T13" s="593" t="str">
        <f>IF(D13="","",VLOOKUP(D13,'9. All Habitats + Multipliers'!$C$4:$K$102,5,FALSE))</f>
        <v/>
      </c>
      <c r="U13" s="594"/>
      <c r="V13" s="393" t="str">
        <f>IF(T13="","",VLOOKUP(T13,'11. Lists'!$S$47:$U$50,2,FALSE))</f>
        <v/>
      </c>
      <c r="W13" s="94" t="str">
        <f>IF(D13="","",VLOOKUP(D13,'10. Condition and Temporal'!$B$6:$C$103,2,FALSE))</f>
        <v/>
      </c>
      <c r="X13" s="95" t="str">
        <f>IF(W13="","",VLOOKUP(W13,'11. Lists'!$F$47:$G$51,2,FALSE))</f>
        <v/>
      </c>
      <c r="Y13" s="49"/>
      <c r="Z13" s="49"/>
      <c r="AA13" s="49"/>
      <c r="AB13" s="205" t="str">
        <f t="shared" ref="AB13:AB30" si="6">IF(F13="","",F13)</f>
        <v/>
      </c>
      <c r="AC13" s="96" t="str">
        <f>IF(AB13="","",VLOOKUP(AB13,'11. Lists'!$F$36:$H$38,2,FALSE))</f>
        <v/>
      </c>
      <c r="AD13" s="95" t="str">
        <f>IF(AB13="","",VLOOKUP(AB13,'11. Lists'!$F$36:$H$38,3,FALSE))</f>
        <v/>
      </c>
      <c r="AE13" s="344" t="str">
        <f t="shared" si="3"/>
        <v/>
      </c>
      <c r="AF13" s="345" t="str">
        <f t="shared" si="4"/>
        <v/>
      </c>
      <c r="AG13" s="98" t="str">
        <f t="shared" si="5"/>
        <v/>
      </c>
      <c r="AH13" s="94" t="str">
        <f>IF(T13="","",VLOOKUP(T13,'11. Lists'!$B$47:$D$49,3,FALSE))</f>
        <v/>
      </c>
      <c r="AI13" s="95" t="str">
        <f>IF(D13="","",VLOOKUP(D13,'10. Condition and Temporal'!$B$6:$L$103,4,FALSE))</f>
        <v/>
      </c>
    </row>
    <row r="14" spans="1:35" s="26" customFormat="1" ht="30" x14ac:dyDescent="0.25">
      <c r="B14" s="298">
        <v>4</v>
      </c>
      <c r="C14" s="443" t="s">
        <v>954</v>
      </c>
      <c r="D14" s="632"/>
      <c r="E14" s="633"/>
      <c r="F14" s="833"/>
      <c r="G14" s="834"/>
      <c r="H14" s="835"/>
      <c r="I14" s="351"/>
      <c r="J14" s="352"/>
      <c r="K14" s="353"/>
      <c r="L14" s="340" t="str">
        <f t="shared" si="0"/>
        <v/>
      </c>
      <c r="M14" s="347" t="str">
        <f t="shared" si="1"/>
        <v/>
      </c>
      <c r="N14" s="336" t="str">
        <f t="shared" si="2"/>
        <v/>
      </c>
      <c r="O14" s="69"/>
      <c r="P14" s="3"/>
      <c r="R14" s="664"/>
      <c r="T14" s="593" t="str">
        <f>IF(D14="","",VLOOKUP(D14,'9. All Habitats + Multipliers'!$C$4:$K$102,5,FALSE))</f>
        <v/>
      </c>
      <c r="U14" s="594"/>
      <c r="V14" s="393" t="str">
        <f>IF(T14="","",VLOOKUP(T14,'11. Lists'!$S$47:$U$50,2,FALSE))</f>
        <v/>
      </c>
      <c r="W14" s="94" t="str">
        <f>IF(D14="","",VLOOKUP(D14,'10. Condition and Temporal'!$B$6:$C$103,2,FALSE))</f>
        <v/>
      </c>
      <c r="X14" s="95" t="str">
        <f>IF(W14="","",VLOOKUP(W14,'11. Lists'!$F$47:$G$51,2,FALSE))</f>
        <v/>
      </c>
      <c r="Y14" s="49"/>
      <c r="Z14" s="49"/>
      <c r="AA14" s="49"/>
      <c r="AB14" s="205" t="str">
        <f t="shared" si="6"/>
        <v/>
      </c>
      <c r="AC14" s="96" t="str">
        <f>IF(AB14="","",VLOOKUP(AB14,'11. Lists'!$F$36:$H$38,2,FALSE))</f>
        <v/>
      </c>
      <c r="AD14" s="95" t="str">
        <f>IF(AB14="","",VLOOKUP(AB14,'11. Lists'!$F$36:$H$38,3,FALSE))</f>
        <v/>
      </c>
      <c r="AE14" s="344" t="str">
        <f t="shared" si="3"/>
        <v/>
      </c>
      <c r="AF14" s="345" t="str">
        <f t="shared" si="4"/>
        <v/>
      </c>
      <c r="AG14" s="98" t="str">
        <f t="shared" si="5"/>
        <v/>
      </c>
      <c r="AH14" s="94" t="str">
        <f>IF(T14="","",VLOOKUP(T14,'11. Lists'!$B$47:$D$49,3,FALSE))</f>
        <v/>
      </c>
      <c r="AI14" s="95" t="str">
        <f>IF(D14="","",VLOOKUP(D14,'10. Condition and Temporal'!$B$6:$L$103,4,FALSE))</f>
        <v/>
      </c>
    </row>
    <row r="15" spans="1:35" s="26" customFormat="1" ht="30" x14ac:dyDescent="0.25">
      <c r="B15" s="298">
        <v>5</v>
      </c>
      <c r="C15" s="443" t="s">
        <v>954</v>
      </c>
      <c r="D15" s="632"/>
      <c r="E15" s="633"/>
      <c r="F15" s="702"/>
      <c r="G15" s="703"/>
      <c r="H15" s="704"/>
      <c r="I15" s="351"/>
      <c r="J15" s="352"/>
      <c r="K15" s="353"/>
      <c r="L15" s="340" t="str">
        <f t="shared" si="0"/>
        <v/>
      </c>
      <c r="M15" s="347" t="str">
        <f t="shared" si="1"/>
        <v/>
      </c>
      <c r="N15" s="336" t="str">
        <f t="shared" si="2"/>
        <v/>
      </c>
      <c r="O15" s="69"/>
      <c r="P15" s="3"/>
      <c r="R15" s="664"/>
      <c r="T15" s="593" t="str">
        <f>IF(D15="","",VLOOKUP(D15,'9. All Habitats + Multipliers'!$C$4:$K$102,5,FALSE))</f>
        <v/>
      </c>
      <c r="U15" s="594"/>
      <c r="V15" s="393" t="str">
        <f>IF(T15="","",VLOOKUP(T15,'11. Lists'!$S$47:$U$50,2,FALSE))</f>
        <v/>
      </c>
      <c r="W15" s="94" t="str">
        <f>IF(D15="","",VLOOKUP(D15,'10. Condition and Temporal'!$B$6:$C$103,2,FALSE))</f>
        <v/>
      </c>
      <c r="X15" s="95" t="str">
        <f>IF(W15="","",VLOOKUP(W15,'11. Lists'!$F$47:$G$51,2,FALSE))</f>
        <v/>
      </c>
      <c r="Y15" s="49"/>
      <c r="Z15" s="49"/>
      <c r="AA15" s="49"/>
      <c r="AB15" s="205" t="str">
        <f t="shared" si="6"/>
        <v/>
      </c>
      <c r="AC15" s="96" t="str">
        <f>IF(AB15="","",VLOOKUP(AB15,'11. Lists'!$F$36:$H$38,2,FALSE))</f>
        <v/>
      </c>
      <c r="AD15" s="95" t="str">
        <f>IF(AB15="","",VLOOKUP(AB15,'11. Lists'!$F$36:$H$38,3,FALSE))</f>
        <v/>
      </c>
      <c r="AE15" s="344" t="str">
        <f t="shared" si="3"/>
        <v/>
      </c>
      <c r="AF15" s="345" t="str">
        <f t="shared" si="4"/>
        <v/>
      </c>
      <c r="AG15" s="98" t="str">
        <f t="shared" si="5"/>
        <v/>
      </c>
      <c r="AH15" s="94" t="str">
        <f>IF(T15="","",VLOOKUP(T15,'11. Lists'!$B$47:$D$49,3,FALSE))</f>
        <v/>
      </c>
      <c r="AI15" s="95" t="str">
        <f>IF(D15="","",VLOOKUP(D15,'10. Condition and Temporal'!$B$6:$L$103,4,FALSE))</f>
        <v/>
      </c>
    </row>
    <row r="16" spans="1:35" s="26" customFormat="1" ht="30" x14ac:dyDescent="0.25">
      <c r="B16" s="298">
        <v>6</v>
      </c>
      <c r="C16" s="443" t="s">
        <v>954</v>
      </c>
      <c r="D16" s="632"/>
      <c r="E16" s="633"/>
      <c r="F16" s="702"/>
      <c r="G16" s="703"/>
      <c r="H16" s="704"/>
      <c r="I16" s="351"/>
      <c r="J16" s="352"/>
      <c r="K16" s="353"/>
      <c r="L16" s="340" t="str">
        <f t="shared" si="0"/>
        <v/>
      </c>
      <c r="M16" s="347" t="str">
        <f t="shared" si="1"/>
        <v/>
      </c>
      <c r="N16" s="336" t="str">
        <f t="shared" si="2"/>
        <v/>
      </c>
      <c r="O16" s="69"/>
      <c r="P16" s="3"/>
      <c r="R16" s="664"/>
      <c r="T16" s="593" t="str">
        <f>IF(D16="","",VLOOKUP(D16,'9. All Habitats + Multipliers'!$C$4:$K$102,5,FALSE))</f>
        <v/>
      </c>
      <c r="U16" s="594"/>
      <c r="V16" s="393" t="str">
        <f>IF(T16="","",VLOOKUP(T16,'11. Lists'!$S$47:$U$50,2,FALSE))</f>
        <v/>
      </c>
      <c r="W16" s="94" t="str">
        <f>IF(D16="","",VLOOKUP(D16,'10. Condition and Temporal'!$B$6:$C$103,2,FALSE))</f>
        <v/>
      </c>
      <c r="X16" s="95" t="str">
        <f>IF(W16="","",VLOOKUP(W16,'11. Lists'!$F$47:$G$51,2,FALSE))</f>
        <v/>
      </c>
      <c r="Y16" s="49"/>
      <c r="Z16" s="49"/>
      <c r="AA16" s="49"/>
      <c r="AB16" s="205" t="str">
        <f t="shared" si="6"/>
        <v/>
      </c>
      <c r="AC16" s="96" t="str">
        <f>IF(AB16="","",VLOOKUP(AB16,'11. Lists'!$F$36:$H$38,2,FALSE))</f>
        <v/>
      </c>
      <c r="AD16" s="95" t="str">
        <f>IF(AB16="","",VLOOKUP(AB16,'11. Lists'!$F$36:$H$38,3,FALSE))</f>
        <v/>
      </c>
      <c r="AE16" s="344" t="str">
        <f t="shared" si="3"/>
        <v/>
      </c>
      <c r="AF16" s="345" t="str">
        <f t="shared" si="4"/>
        <v/>
      </c>
      <c r="AG16" s="98" t="str">
        <f t="shared" si="5"/>
        <v/>
      </c>
      <c r="AH16" s="94" t="str">
        <f>IF(T16="","",VLOOKUP(T16,'11. Lists'!$B$47:$D$49,3,FALSE))</f>
        <v/>
      </c>
      <c r="AI16" s="95" t="str">
        <f>IF(D16="","",VLOOKUP(D16,'10. Condition and Temporal'!$B$6:$L$103,4,FALSE))</f>
        <v/>
      </c>
    </row>
    <row r="17" spans="2:35" s="26" customFormat="1" ht="30" x14ac:dyDescent="0.25">
      <c r="B17" s="298">
        <v>7</v>
      </c>
      <c r="C17" s="443" t="s">
        <v>954</v>
      </c>
      <c r="D17" s="632"/>
      <c r="E17" s="633"/>
      <c r="F17" s="702"/>
      <c r="G17" s="703"/>
      <c r="H17" s="704"/>
      <c r="I17" s="351"/>
      <c r="J17" s="352"/>
      <c r="K17" s="353"/>
      <c r="L17" s="340" t="str">
        <f t="shared" si="0"/>
        <v/>
      </c>
      <c r="M17" s="347" t="str">
        <f t="shared" si="1"/>
        <v/>
      </c>
      <c r="N17" s="336" t="str">
        <f t="shared" si="2"/>
        <v/>
      </c>
      <c r="O17" s="69"/>
      <c r="P17" s="3"/>
      <c r="R17" s="664"/>
      <c r="T17" s="593" t="str">
        <f>IF(D17="","",VLOOKUP(D17,'9. All Habitats + Multipliers'!$C$4:$K$102,5,FALSE))</f>
        <v/>
      </c>
      <c r="U17" s="594"/>
      <c r="V17" s="393" t="str">
        <f>IF(T17="","",VLOOKUP(T17,'11. Lists'!$S$47:$U$50,2,FALSE))</f>
        <v/>
      </c>
      <c r="W17" s="94" t="str">
        <f>IF(D17="","",VLOOKUP(D17,'10. Condition and Temporal'!$B$6:$C$103,2,FALSE))</f>
        <v/>
      </c>
      <c r="X17" s="95" t="str">
        <f>IF(W17="","",VLOOKUP(W17,'11. Lists'!$F$47:$G$51,2,FALSE))</f>
        <v/>
      </c>
      <c r="Y17" s="49"/>
      <c r="Z17" s="49"/>
      <c r="AA17" s="49"/>
      <c r="AB17" s="205" t="str">
        <f t="shared" si="6"/>
        <v/>
      </c>
      <c r="AC17" s="96" t="str">
        <f>IF(AB17="","",VLOOKUP(AB17,'11. Lists'!$F$36:$H$38,2,FALSE))</f>
        <v/>
      </c>
      <c r="AD17" s="95" t="str">
        <f>IF(AB17="","",VLOOKUP(AB17,'11. Lists'!$F$36:$H$38,3,FALSE))</f>
        <v/>
      </c>
      <c r="AE17" s="344" t="str">
        <f t="shared" si="3"/>
        <v/>
      </c>
      <c r="AF17" s="345" t="str">
        <f t="shared" si="4"/>
        <v/>
      </c>
      <c r="AG17" s="98" t="str">
        <f t="shared" si="5"/>
        <v/>
      </c>
      <c r="AH17" s="94" t="str">
        <f>IF(T17="","",VLOOKUP(T17,'11. Lists'!$B$47:$D$49,3,FALSE))</f>
        <v/>
      </c>
      <c r="AI17" s="95" t="str">
        <f>IF(D17="","",VLOOKUP(D17,'10. Condition and Temporal'!$B$6:$L$103,4,FALSE))</f>
        <v/>
      </c>
    </row>
    <row r="18" spans="2:35" s="26" customFormat="1" ht="30" x14ac:dyDescent="0.25">
      <c r="B18" s="298">
        <v>8</v>
      </c>
      <c r="C18" s="443" t="s">
        <v>954</v>
      </c>
      <c r="D18" s="632"/>
      <c r="E18" s="633"/>
      <c r="F18" s="702"/>
      <c r="G18" s="703"/>
      <c r="H18" s="704"/>
      <c r="I18" s="351"/>
      <c r="J18" s="352"/>
      <c r="K18" s="353"/>
      <c r="L18" s="340" t="str">
        <f t="shared" si="0"/>
        <v/>
      </c>
      <c r="M18" s="347" t="str">
        <f t="shared" si="1"/>
        <v/>
      </c>
      <c r="N18" s="336" t="str">
        <f t="shared" si="2"/>
        <v/>
      </c>
      <c r="O18" s="69"/>
      <c r="P18" s="3"/>
      <c r="R18" s="664"/>
      <c r="T18" s="593" t="str">
        <f>IF(D18="","",VLOOKUP(D18,'9. All Habitats + Multipliers'!$C$4:$K$102,5,FALSE))</f>
        <v/>
      </c>
      <c r="U18" s="594"/>
      <c r="V18" s="393" t="str">
        <f>IF(T18="","",VLOOKUP(T18,'11. Lists'!$S$47:$U$50,2,FALSE))</f>
        <v/>
      </c>
      <c r="W18" s="94" t="str">
        <f>IF(D18="","",VLOOKUP(D18,'10. Condition and Temporal'!$B$6:$C$103,2,FALSE))</f>
        <v/>
      </c>
      <c r="X18" s="95" t="str">
        <f>IF(W18="","",VLOOKUP(W18,'11. Lists'!$F$47:$G$51,2,FALSE))</f>
        <v/>
      </c>
      <c r="Y18" s="49"/>
      <c r="Z18" s="49"/>
      <c r="AA18" s="49"/>
      <c r="AB18" s="205" t="str">
        <f t="shared" si="6"/>
        <v/>
      </c>
      <c r="AC18" s="96" t="str">
        <f>IF(AB18="","",VLOOKUP(AB18,'11. Lists'!$F$36:$H$38,2,FALSE))</f>
        <v/>
      </c>
      <c r="AD18" s="95" t="str">
        <f>IF(AB18="","",VLOOKUP(AB18,'11. Lists'!$F$36:$H$38,3,FALSE))</f>
        <v/>
      </c>
      <c r="AE18" s="344" t="str">
        <f t="shared" si="3"/>
        <v/>
      </c>
      <c r="AF18" s="345" t="str">
        <f t="shared" si="4"/>
        <v/>
      </c>
      <c r="AG18" s="98" t="str">
        <f t="shared" si="5"/>
        <v/>
      </c>
      <c r="AH18" s="94" t="str">
        <f>IF(T18="","",VLOOKUP(T18,'11. Lists'!$B$47:$D$49,3,FALSE))</f>
        <v/>
      </c>
      <c r="AI18" s="95" t="str">
        <f>IF(D18="","",VLOOKUP(D18,'10. Condition and Temporal'!$B$6:$L$103,4,FALSE))</f>
        <v/>
      </c>
    </row>
    <row r="19" spans="2:35" s="26" customFormat="1" ht="30" x14ac:dyDescent="0.25">
      <c r="B19" s="298">
        <v>9</v>
      </c>
      <c r="C19" s="443" t="s">
        <v>954</v>
      </c>
      <c r="D19" s="632"/>
      <c r="E19" s="633"/>
      <c r="F19" s="702"/>
      <c r="G19" s="703"/>
      <c r="H19" s="704"/>
      <c r="I19" s="351"/>
      <c r="J19" s="352"/>
      <c r="K19" s="353"/>
      <c r="L19" s="340" t="str">
        <f t="shared" si="0"/>
        <v/>
      </c>
      <c r="M19" s="347" t="str">
        <f t="shared" si="1"/>
        <v/>
      </c>
      <c r="N19" s="336" t="str">
        <f t="shared" si="2"/>
        <v/>
      </c>
      <c r="O19" s="69"/>
      <c r="P19" s="3"/>
      <c r="R19" s="664"/>
      <c r="T19" s="593" t="str">
        <f>IF(D19="","",VLOOKUP(D19,'9. All Habitats + Multipliers'!$C$4:$K$102,5,FALSE))</f>
        <v/>
      </c>
      <c r="U19" s="594"/>
      <c r="V19" s="393" t="str">
        <f>IF(T19="","",VLOOKUP(T19,'11. Lists'!$S$47:$U$50,2,FALSE))</f>
        <v/>
      </c>
      <c r="W19" s="94" t="str">
        <f>IF(D19="","",VLOOKUP(D19,'10. Condition and Temporal'!$B$6:$C$103,2,FALSE))</f>
        <v/>
      </c>
      <c r="X19" s="95" t="str">
        <f>IF(W19="","",VLOOKUP(W19,'11. Lists'!$F$47:$G$51,2,FALSE))</f>
        <v/>
      </c>
      <c r="Y19" s="49"/>
      <c r="Z19" s="49"/>
      <c r="AA19" s="49"/>
      <c r="AB19" s="205" t="str">
        <f t="shared" si="6"/>
        <v/>
      </c>
      <c r="AC19" s="96" t="str">
        <f>IF(AB19="","",VLOOKUP(AB19,'11. Lists'!$F$36:$H$38,2,FALSE))</f>
        <v/>
      </c>
      <c r="AD19" s="95" t="str">
        <f>IF(AB19="","",VLOOKUP(AB19,'11. Lists'!$F$36:$H$38,3,FALSE))</f>
        <v/>
      </c>
      <c r="AE19" s="344" t="str">
        <f t="shared" si="3"/>
        <v/>
      </c>
      <c r="AF19" s="345" t="str">
        <f t="shared" si="4"/>
        <v/>
      </c>
      <c r="AG19" s="98" t="str">
        <f t="shared" si="5"/>
        <v/>
      </c>
      <c r="AH19" s="94" t="str">
        <f>IF(T19="","",VLOOKUP(T19,'11. Lists'!$B$47:$D$49,3,FALSE))</f>
        <v/>
      </c>
      <c r="AI19" s="95" t="str">
        <f>IF(D19="","",VLOOKUP(D19,'10. Condition and Temporal'!$B$6:$L$103,4,FALSE))</f>
        <v/>
      </c>
    </row>
    <row r="20" spans="2:35" s="26" customFormat="1" ht="30" x14ac:dyDescent="0.25">
      <c r="B20" s="298">
        <v>10</v>
      </c>
      <c r="C20" s="444" t="s">
        <v>954</v>
      </c>
      <c r="D20" s="632"/>
      <c r="E20" s="633"/>
      <c r="F20" s="702"/>
      <c r="G20" s="703"/>
      <c r="H20" s="704"/>
      <c r="I20" s="351"/>
      <c r="J20" s="352"/>
      <c r="K20" s="353"/>
      <c r="L20" s="340" t="str">
        <f t="shared" si="0"/>
        <v/>
      </c>
      <c r="M20" s="347" t="str">
        <f t="shared" si="1"/>
        <v/>
      </c>
      <c r="N20" s="336" t="str">
        <f t="shared" si="2"/>
        <v/>
      </c>
      <c r="O20" s="70"/>
      <c r="P20" s="8"/>
      <c r="R20" s="664"/>
      <c r="T20" s="593" t="str">
        <f>IF(D20="","",VLOOKUP(D20,'9. All Habitats + Multipliers'!$C$4:$K$102,5,FALSE))</f>
        <v/>
      </c>
      <c r="U20" s="594"/>
      <c r="V20" s="393" t="str">
        <f>IF(T20="","",VLOOKUP(T20,'11. Lists'!$S$47:$U$50,2,FALSE))</f>
        <v/>
      </c>
      <c r="W20" s="94" t="str">
        <f>IF(D20="","",VLOOKUP(D20,'10. Condition and Temporal'!$B$6:$C$103,2,FALSE))</f>
        <v/>
      </c>
      <c r="X20" s="95" t="str">
        <f>IF(W20="","",VLOOKUP(W20,'11. Lists'!$F$47:$G$51,2,FALSE))</f>
        <v/>
      </c>
      <c r="Y20" s="49"/>
      <c r="Z20" s="49"/>
      <c r="AA20" s="49"/>
      <c r="AB20" s="205" t="str">
        <f t="shared" si="6"/>
        <v/>
      </c>
      <c r="AC20" s="96" t="str">
        <f>IF(AB20="","",VLOOKUP(AB20,'11. Lists'!$F$36:$H$38,2,FALSE))</f>
        <v/>
      </c>
      <c r="AD20" s="95" t="str">
        <f>IF(AB20="","",VLOOKUP(AB20,'11. Lists'!$F$36:$H$38,3,FALSE))</f>
        <v/>
      </c>
      <c r="AE20" s="344" t="str">
        <f t="shared" si="3"/>
        <v/>
      </c>
      <c r="AF20" s="345" t="str">
        <f t="shared" si="4"/>
        <v/>
      </c>
      <c r="AG20" s="98" t="str">
        <f t="shared" si="5"/>
        <v/>
      </c>
      <c r="AH20" s="94" t="str">
        <f>IF(T20="","",VLOOKUP(T20,'11. Lists'!$B$47:$D$49,3,FALSE))</f>
        <v/>
      </c>
      <c r="AI20" s="95" t="str">
        <f>IF(D20="","",VLOOKUP(D20,'10. Condition and Temporal'!$B$6:$L$103,4,FALSE))</f>
        <v/>
      </c>
    </row>
    <row r="21" spans="2:35" s="26" customFormat="1" ht="30" x14ac:dyDescent="0.25">
      <c r="B21" s="298">
        <v>11</v>
      </c>
      <c r="C21" s="443" t="s">
        <v>954</v>
      </c>
      <c r="D21" s="632"/>
      <c r="E21" s="633"/>
      <c r="F21" s="702"/>
      <c r="G21" s="703"/>
      <c r="H21" s="704"/>
      <c r="I21" s="351"/>
      <c r="J21" s="352"/>
      <c r="K21" s="353"/>
      <c r="L21" s="340" t="str">
        <f t="shared" si="0"/>
        <v/>
      </c>
      <c r="M21" s="347" t="str">
        <f t="shared" si="1"/>
        <v/>
      </c>
      <c r="N21" s="336" t="str">
        <f t="shared" si="2"/>
        <v/>
      </c>
      <c r="O21" s="70"/>
      <c r="P21" s="8"/>
      <c r="R21" s="664"/>
      <c r="T21" s="593" t="str">
        <f>IF(D21="","",VLOOKUP(D21,'9. All Habitats + Multipliers'!$C$4:$K$102,5,FALSE))</f>
        <v/>
      </c>
      <c r="U21" s="594"/>
      <c r="V21" s="393" t="str">
        <f>IF(T21="","",VLOOKUP(T21,'11. Lists'!$S$47:$U$50,2,FALSE))</f>
        <v/>
      </c>
      <c r="W21" s="94" t="str">
        <f>IF(D21="","",VLOOKUP(D21,'10. Condition and Temporal'!$B$6:$C$103,2,FALSE))</f>
        <v/>
      </c>
      <c r="X21" s="95" t="str">
        <f>IF(W21="","",VLOOKUP(W21,'11. Lists'!$F$47:$G$51,2,FALSE))</f>
        <v/>
      </c>
      <c r="Y21" s="49"/>
      <c r="Z21" s="49"/>
      <c r="AA21" s="49"/>
      <c r="AB21" s="205" t="str">
        <f t="shared" si="6"/>
        <v/>
      </c>
      <c r="AC21" s="96" t="str">
        <f>IF(AB21="","",VLOOKUP(AB21,'11. Lists'!$F$36:$H$38,2,FALSE))</f>
        <v/>
      </c>
      <c r="AD21" s="95" t="str">
        <f>IF(AB21="","",VLOOKUP(AB21,'11. Lists'!$F$36:$H$38,3,FALSE))</f>
        <v/>
      </c>
      <c r="AE21" s="344" t="str">
        <f t="shared" si="3"/>
        <v/>
      </c>
      <c r="AF21" s="345" t="str">
        <f t="shared" si="4"/>
        <v/>
      </c>
      <c r="AG21" s="98" t="str">
        <f t="shared" si="5"/>
        <v/>
      </c>
      <c r="AH21" s="94" t="str">
        <f>IF(T21="","",VLOOKUP(T21,'11. Lists'!$B$47:$D$49,3,FALSE))</f>
        <v/>
      </c>
      <c r="AI21" s="95" t="str">
        <f>IF(D21="","",VLOOKUP(D21,'10. Condition and Temporal'!$B$6:$L$103,4,FALSE))</f>
        <v/>
      </c>
    </row>
    <row r="22" spans="2:35" s="26" customFormat="1" ht="30" x14ac:dyDescent="0.25">
      <c r="B22" s="298">
        <v>12</v>
      </c>
      <c r="C22" s="443" t="s">
        <v>954</v>
      </c>
      <c r="D22" s="632"/>
      <c r="E22" s="633"/>
      <c r="F22" s="702"/>
      <c r="G22" s="703"/>
      <c r="H22" s="704"/>
      <c r="I22" s="351"/>
      <c r="J22" s="352"/>
      <c r="K22" s="353"/>
      <c r="L22" s="340" t="str">
        <f t="shared" si="0"/>
        <v/>
      </c>
      <c r="M22" s="347" t="str">
        <f t="shared" si="1"/>
        <v/>
      </c>
      <c r="N22" s="336" t="str">
        <f t="shared" si="2"/>
        <v/>
      </c>
      <c r="O22" s="70"/>
      <c r="P22" s="8"/>
      <c r="R22" s="664"/>
      <c r="T22" s="593" t="str">
        <f>IF(D22="","",VLOOKUP(D22,'9. All Habitats + Multipliers'!$C$4:$K$102,5,FALSE))</f>
        <v/>
      </c>
      <c r="U22" s="594"/>
      <c r="V22" s="393" t="str">
        <f>IF(T22="","",VLOOKUP(T22,'11. Lists'!$S$47:$U$50,2,FALSE))</f>
        <v/>
      </c>
      <c r="W22" s="94" t="str">
        <f>IF(D22="","",VLOOKUP(D22,'10. Condition and Temporal'!$B$6:$C$103,2,FALSE))</f>
        <v/>
      </c>
      <c r="X22" s="95" t="str">
        <f>IF(W22="","",VLOOKUP(W22,'11. Lists'!$F$47:$G$51,2,FALSE))</f>
        <v/>
      </c>
      <c r="Y22" s="49"/>
      <c r="Z22" s="49"/>
      <c r="AA22" s="49"/>
      <c r="AB22" s="205" t="str">
        <f t="shared" si="6"/>
        <v/>
      </c>
      <c r="AC22" s="96" t="str">
        <f>IF(AB22="","",VLOOKUP(AB22,'11. Lists'!$F$36:$H$38,2,FALSE))</f>
        <v/>
      </c>
      <c r="AD22" s="95" t="str">
        <f>IF(AB22="","",VLOOKUP(AB22,'11. Lists'!$F$36:$H$38,3,FALSE))</f>
        <v/>
      </c>
      <c r="AE22" s="344" t="str">
        <f t="shared" si="3"/>
        <v/>
      </c>
      <c r="AF22" s="345" t="str">
        <f t="shared" si="4"/>
        <v/>
      </c>
      <c r="AG22" s="98" t="str">
        <f t="shared" si="5"/>
        <v/>
      </c>
      <c r="AH22" s="94" t="str">
        <f>IF(T22="","",VLOOKUP(T22,'11. Lists'!$B$47:$D$49,3,FALSE))</f>
        <v/>
      </c>
      <c r="AI22" s="95" t="str">
        <f>IF(D22="","",VLOOKUP(D22,'10. Condition and Temporal'!$B$6:$L$103,4,FALSE))</f>
        <v/>
      </c>
    </row>
    <row r="23" spans="2:35" s="26" customFormat="1" ht="30" x14ac:dyDescent="0.25">
      <c r="B23" s="298">
        <v>13</v>
      </c>
      <c r="C23" s="443" t="s">
        <v>954</v>
      </c>
      <c r="D23" s="632"/>
      <c r="E23" s="633"/>
      <c r="F23" s="702"/>
      <c r="G23" s="703"/>
      <c r="H23" s="704"/>
      <c r="I23" s="351"/>
      <c r="J23" s="352"/>
      <c r="K23" s="353"/>
      <c r="L23" s="340" t="str">
        <f t="shared" si="0"/>
        <v/>
      </c>
      <c r="M23" s="347" t="str">
        <f t="shared" si="1"/>
        <v/>
      </c>
      <c r="N23" s="336" t="str">
        <f t="shared" si="2"/>
        <v/>
      </c>
      <c r="O23" s="70"/>
      <c r="P23" s="8"/>
      <c r="R23" s="664"/>
      <c r="T23" s="593" t="str">
        <f>IF(D23="","",VLOOKUP(D23,'9. All Habitats + Multipliers'!$C$4:$K$102,5,FALSE))</f>
        <v/>
      </c>
      <c r="U23" s="594"/>
      <c r="V23" s="393" t="str">
        <f>IF(T23="","",VLOOKUP(T23,'11. Lists'!$S$47:$U$50,2,FALSE))</f>
        <v/>
      </c>
      <c r="W23" s="94" t="str">
        <f>IF(D23="","",VLOOKUP(D23,'10. Condition and Temporal'!$B$6:$C$103,2,FALSE))</f>
        <v/>
      </c>
      <c r="X23" s="95" t="str">
        <f>IF(W23="","",VLOOKUP(W23,'11. Lists'!$F$47:$G$51,2,FALSE))</f>
        <v/>
      </c>
      <c r="Y23" s="49"/>
      <c r="Z23" s="49"/>
      <c r="AA23" s="49"/>
      <c r="AB23" s="205" t="str">
        <f t="shared" si="6"/>
        <v/>
      </c>
      <c r="AC23" s="96" t="str">
        <f>IF(AB23="","",VLOOKUP(AB23,'11. Lists'!$F$36:$H$38,2,FALSE))</f>
        <v/>
      </c>
      <c r="AD23" s="95" t="str">
        <f>IF(AB23="","",VLOOKUP(AB23,'11. Lists'!$F$36:$H$38,3,FALSE))</f>
        <v/>
      </c>
      <c r="AE23" s="344" t="str">
        <f t="shared" si="3"/>
        <v/>
      </c>
      <c r="AF23" s="345" t="str">
        <f t="shared" si="4"/>
        <v/>
      </c>
      <c r="AG23" s="98" t="str">
        <f t="shared" si="5"/>
        <v/>
      </c>
      <c r="AH23" s="94" t="str">
        <f>IF(T23="","",VLOOKUP(T23,'11. Lists'!$B$47:$D$49,3,FALSE))</f>
        <v/>
      </c>
      <c r="AI23" s="95" t="str">
        <f>IF(D23="","",VLOOKUP(D23,'10. Condition and Temporal'!$B$6:$L$103,4,FALSE))</f>
        <v/>
      </c>
    </row>
    <row r="24" spans="2:35" s="26" customFormat="1" ht="30" x14ac:dyDescent="0.25">
      <c r="B24" s="298">
        <v>14</v>
      </c>
      <c r="C24" s="443" t="s">
        <v>954</v>
      </c>
      <c r="D24" s="632"/>
      <c r="E24" s="633"/>
      <c r="F24" s="702"/>
      <c r="G24" s="703"/>
      <c r="H24" s="704"/>
      <c r="I24" s="351"/>
      <c r="J24" s="352"/>
      <c r="K24" s="353"/>
      <c r="L24" s="340" t="str">
        <f t="shared" si="0"/>
        <v/>
      </c>
      <c r="M24" s="347" t="str">
        <f t="shared" si="1"/>
        <v/>
      </c>
      <c r="N24" s="336" t="str">
        <f t="shared" si="2"/>
        <v/>
      </c>
      <c r="O24" s="70"/>
      <c r="P24" s="8"/>
      <c r="R24" s="664"/>
      <c r="T24" s="593" t="str">
        <f>IF(D24="","",VLOOKUP(D24,'9. All Habitats + Multipliers'!$C$4:$K$102,5,FALSE))</f>
        <v/>
      </c>
      <c r="U24" s="594"/>
      <c r="V24" s="393" t="str">
        <f>IF(T24="","",VLOOKUP(T24,'11. Lists'!$S$47:$U$50,2,FALSE))</f>
        <v/>
      </c>
      <c r="W24" s="94" t="str">
        <f>IF(D24="","",VLOOKUP(D24,'10. Condition and Temporal'!$B$6:$C$103,2,FALSE))</f>
        <v/>
      </c>
      <c r="X24" s="95" t="str">
        <f>IF(W24="","",VLOOKUP(W24,'11. Lists'!$F$47:$G$51,2,FALSE))</f>
        <v/>
      </c>
      <c r="Y24" s="49"/>
      <c r="Z24" s="49"/>
      <c r="AA24" s="49"/>
      <c r="AB24" s="205" t="str">
        <f t="shared" si="6"/>
        <v/>
      </c>
      <c r="AC24" s="96" t="str">
        <f>IF(AB24="","",VLOOKUP(AB24,'11. Lists'!$F$36:$H$38,2,FALSE))</f>
        <v/>
      </c>
      <c r="AD24" s="95" t="str">
        <f>IF(AB24="","",VLOOKUP(AB24,'11. Lists'!$F$36:$H$38,3,FALSE))</f>
        <v/>
      </c>
      <c r="AE24" s="344" t="str">
        <f t="shared" si="3"/>
        <v/>
      </c>
      <c r="AF24" s="345" t="str">
        <f t="shared" si="4"/>
        <v/>
      </c>
      <c r="AG24" s="98" t="str">
        <f t="shared" si="5"/>
        <v/>
      </c>
      <c r="AH24" s="94" t="str">
        <f>IF(T24="","",VLOOKUP(T24,'11. Lists'!$B$47:$D$49,3,FALSE))</f>
        <v/>
      </c>
      <c r="AI24" s="95" t="str">
        <f>IF(D24="","",VLOOKUP(D24,'10. Condition and Temporal'!$B$6:$L$103,4,FALSE))</f>
        <v/>
      </c>
    </row>
    <row r="25" spans="2:35" s="26" customFormat="1" ht="30" x14ac:dyDescent="0.25">
      <c r="B25" s="298">
        <v>15</v>
      </c>
      <c r="C25" s="443" t="s">
        <v>954</v>
      </c>
      <c r="D25" s="632"/>
      <c r="E25" s="633"/>
      <c r="F25" s="702"/>
      <c r="G25" s="703"/>
      <c r="H25" s="704"/>
      <c r="I25" s="351"/>
      <c r="J25" s="352"/>
      <c r="K25" s="353"/>
      <c r="L25" s="340" t="str">
        <f t="shared" si="0"/>
        <v/>
      </c>
      <c r="M25" s="347" t="str">
        <f t="shared" si="1"/>
        <v/>
      </c>
      <c r="N25" s="336" t="str">
        <f t="shared" si="2"/>
        <v/>
      </c>
      <c r="O25" s="70"/>
      <c r="P25" s="8"/>
      <c r="R25" s="664"/>
      <c r="T25" s="593" t="str">
        <f>IF(D25="","",VLOOKUP(D25,'9. All Habitats + Multipliers'!$C$4:$K$102,5,FALSE))</f>
        <v/>
      </c>
      <c r="U25" s="594"/>
      <c r="V25" s="393" t="str">
        <f>IF(T25="","",VLOOKUP(T25,'11. Lists'!$S$47:$U$50,2,FALSE))</f>
        <v/>
      </c>
      <c r="W25" s="94" t="str">
        <f>IF(D25="","",VLOOKUP(D25,'10. Condition and Temporal'!$B$6:$C$103,2,FALSE))</f>
        <v/>
      </c>
      <c r="X25" s="95" t="str">
        <f>IF(W25="","",VLOOKUP(W25,'11. Lists'!$F$47:$G$51,2,FALSE))</f>
        <v/>
      </c>
      <c r="Y25" s="49"/>
      <c r="Z25" s="49"/>
      <c r="AA25" s="49"/>
      <c r="AB25" s="205" t="str">
        <f t="shared" si="6"/>
        <v/>
      </c>
      <c r="AC25" s="96" t="str">
        <f>IF(AB25="","",VLOOKUP(AB25,'11. Lists'!$F$36:$H$38,2,FALSE))</f>
        <v/>
      </c>
      <c r="AD25" s="95" t="str">
        <f>IF(AB25="","",VLOOKUP(AB25,'11. Lists'!$F$36:$H$38,3,FALSE))</f>
        <v/>
      </c>
      <c r="AE25" s="344" t="str">
        <f t="shared" si="3"/>
        <v/>
      </c>
      <c r="AF25" s="345" t="str">
        <f t="shared" si="4"/>
        <v/>
      </c>
      <c r="AG25" s="98" t="str">
        <f t="shared" si="5"/>
        <v/>
      </c>
      <c r="AH25" s="94" t="str">
        <f>IF(T25="","",VLOOKUP(T25,'11. Lists'!$B$47:$D$49,3,FALSE))</f>
        <v/>
      </c>
      <c r="AI25" s="95" t="str">
        <f>IF(D25="","",VLOOKUP(D25,'10. Condition and Temporal'!$B$6:$L$103,4,FALSE))</f>
        <v/>
      </c>
    </row>
    <row r="26" spans="2:35" s="26" customFormat="1" ht="30" x14ac:dyDescent="0.25">
      <c r="B26" s="298">
        <v>16</v>
      </c>
      <c r="C26" s="443" t="s">
        <v>954</v>
      </c>
      <c r="D26" s="632"/>
      <c r="E26" s="633"/>
      <c r="F26" s="702"/>
      <c r="G26" s="703"/>
      <c r="H26" s="704"/>
      <c r="I26" s="351"/>
      <c r="J26" s="352"/>
      <c r="K26" s="353"/>
      <c r="L26" s="340" t="str">
        <f t="shared" si="0"/>
        <v/>
      </c>
      <c r="M26" s="347" t="str">
        <f t="shared" si="1"/>
        <v/>
      </c>
      <c r="N26" s="336" t="str">
        <f t="shared" si="2"/>
        <v/>
      </c>
      <c r="O26" s="70"/>
      <c r="P26" s="8"/>
      <c r="R26" s="664"/>
      <c r="T26" s="593" t="str">
        <f>IF(D26="","",VLOOKUP(D26,'9. All Habitats + Multipliers'!$C$4:$K$102,5,FALSE))</f>
        <v/>
      </c>
      <c r="U26" s="594"/>
      <c r="V26" s="393" t="str">
        <f>IF(T26="","",VLOOKUP(T26,'11. Lists'!$S$47:$U$50,2,FALSE))</f>
        <v/>
      </c>
      <c r="W26" s="94" t="str">
        <f>IF(D26="","",VLOOKUP(D26,'10. Condition and Temporal'!$B$6:$C$103,2,FALSE))</f>
        <v/>
      </c>
      <c r="X26" s="95" t="str">
        <f>IF(W26="","",VLOOKUP(W26,'11. Lists'!$F$47:$G$51,2,FALSE))</f>
        <v/>
      </c>
      <c r="Y26" s="49"/>
      <c r="Z26" s="49"/>
      <c r="AA26" s="49"/>
      <c r="AB26" s="205" t="str">
        <f t="shared" si="6"/>
        <v/>
      </c>
      <c r="AC26" s="96" t="str">
        <f>IF(AB26="","",VLOOKUP(AB26,'11. Lists'!$F$36:$H$38,2,FALSE))</f>
        <v/>
      </c>
      <c r="AD26" s="95" t="str">
        <f>IF(AB26="","",VLOOKUP(AB26,'11. Lists'!$F$36:$H$38,3,FALSE))</f>
        <v/>
      </c>
      <c r="AE26" s="344" t="str">
        <f t="shared" si="3"/>
        <v/>
      </c>
      <c r="AF26" s="345" t="str">
        <f t="shared" si="4"/>
        <v/>
      </c>
      <c r="AG26" s="98" t="str">
        <f t="shared" si="5"/>
        <v/>
      </c>
      <c r="AH26" s="94" t="str">
        <f>IF(T26="","",VLOOKUP(T26,'11. Lists'!$B$47:$D$49,3,FALSE))</f>
        <v/>
      </c>
      <c r="AI26" s="95" t="str">
        <f>IF(D26="","",VLOOKUP(D26,'10. Condition and Temporal'!$B$6:$L$103,4,FALSE))</f>
        <v/>
      </c>
    </row>
    <row r="27" spans="2:35" s="26" customFormat="1" ht="30" x14ac:dyDescent="0.25">
      <c r="B27" s="298">
        <v>17</v>
      </c>
      <c r="C27" s="443" t="s">
        <v>954</v>
      </c>
      <c r="D27" s="632"/>
      <c r="E27" s="633"/>
      <c r="F27" s="702"/>
      <c r="G27" s="703"/>
      <c r="H27" s="704"/>
      <c r="I27" s="351"/>
      <c r="J27" s="352"/>
      <c r="K27" s="353"/>
      <c r="L27" s="340" t="str">
        <f t="shared" si="0"/>
        <v/>
      </c>
      <c r="M27" s="347" t="str">
        <f t="shared" si="1"/>
        <v/>
      </c>
      <c r="N27" s="336" t="str">
        <f t="shared" si="2"/>
        <v/>
      </c>
      <c r="O27" s="70"/>
      <c r="P27" s="8"/>
      <c r="R27" s="664"/>
      <c r="T27" s="593" t="str">
        <f>IF(D27="","",VLOOKUP(D27,'9. All Habitats + Multipliers'!$C$4:$K$102,5,FALSE))</f>
        <v/>
      </c>
      <c r="U27" s="594"/>
      <c r="V27" s="393" t="str">
        <f>IF(T27="","",VLOOKUP(T27,'11. Lists'!$S$47:$U$50,2,FALSE))</f>
        <v/>
      </c>
      <c r="W27" s="94" t="str">
        <f>IF(D27="","",VLOOKUP(D27,'10. Condition and Temporal'!$B$6:$C$103,2,FALSE))</f>
        <v/>
      </c>
      <c r="X27" s="95" t="str">
        <f>IF(W27="","",VLOOKUP(W27,'11. Lists'!$F$47:$G$51,2,FALSE))</f>
        <v/>
      </c>
      <c r="Y27" s="49"/>
      <c r="Z27" s="49"/>
      <c r="AA27" s="49"/>
      <c r="AB27" s="205" t="str">
        <f t="shared" si="6"/>
        <v/>
      </c>
      <c r="AC27" s="96" t="str">
        <f>IF(AB27="","",VLOOKUP(AB27,'11. Lists'!$F$36:$H$38,2,FALSE))</f>
        <v/>
      </c>
      <c r="AD27" s="95" t="str">
        <f>IF(AB27="","",VLOOKUP(AB27,'11. Lists'!$F$36:$H$38,3,FALSE))</f>
        <v/>
      </c>
      <c r="AE27" s="344" t="str">
        <f t="shared" si="3"/>
        <v/>
      </c>
      <c r="AF27" s="345" t="str">
        <f t="shared" si="4"/>
        <v/>
      </c>
      <c r="AG27" s="98" t="str">
        <f t="shared" si="5"/>
        <v/>
      </c>
      <c r="AH27" s="94" t="str">
        <f>IF(T27="","",VLOOKUP(T27,'11. Lists'!$B$47:$D$49,3,FALSE))</f>
        <v/>
      </c>
      <c r="AI27" s="95" t="str">
        <f>IF(D27="","",VLOOKUP(D27,'10. Condition and Temporal'!$B$6:$L$103,4,FALSE))</f>
        <v/>
      </c>
    </row>
    <row r="28" spans="2:35" s="26" customFormat="1" ht="30" x14ac:dyDescent="0.25">
      <c r="B28" s="298">
        <v>18</v>
      </c>
      <c r="C28" s="443" t="s">
        <v>954</v>
      </c>
      <c r="D28" s="632"/>
      <c r="E28" s="633"/>
      <c r="F28" s="702"/>
      <c r="G28" s="703"/>
      <c r="H28" s="704"/>
      <c r="I28" s="351"/>
      <c r="J28" s="352"/>
      <c r="K28" s="353"/>
      <c r="L28" s="340" t="str">
        <f t="shared" si="0"/>
        <v/>
      </c>
      <c r="M28" s="347" t="str">
        <f t="shared" si="1"/>
        <v/>
      </c>
      <c r="N28" s="336" t="str">
        <f t="shared" si="2"/>
        <v/>
      </c>
      <c r="O28" s="70"/>
      <c r="P28" s="8"/>
      <c r="R28" s="664"/>
      <c r="T28" s="593" t="str">
        <f>IF(D28="","",VLOOKUP(D28,'9. All Habitats + Multipliers'!$C$4:$K$102,5,FALSE))</f>
        <v/>
      </c>
      <c r="U28" s="594"/>
      <c r="V28" s="393" t="str">
        <f>IF(T28="","",VLOOKUP(T28,'11. Lists'!$S$47:$U$50,2,FALSE))</f>
        <v/>
      </c>
      <c r="W28" s="94" t="str">
        <f>IF(D28="","",VLOOKUP(D28,'10. Condition and Temporal'!$B$6:$C$103,2,FALSE))</f>
        <v/>
      </c>
      <c r="X28" s="95" t="str">
        <f>IF(W28="","",VLOOKUP(W28,'11. Lists'!$F$47:$G$51,2,FALSE))</f>
        <v/>
      </c>
      <c r="Y28" s="49"/>
      <c r="Z28" s="49"/>
      <c r="AA28" s="49"/>
      <c r="AB28" s="205" t="str">
        <f t="shared" si="6"/>
        <v/>
      </c>
      <c r="AC28" s="96" t="str">
        <f>IF(AB28="","",VLOOKUP(AB28,'11. Lists'!$F$36:$H$38,2,FALSE))</f>
        <v/>
      </c>
      <c r="AD28" s="95" t="str">
        <f>IF(AB28="","",VLOOKUP(AB28,'11. Lists'!$F$36:$H$38,3,FALSE))</f>
        <v/>
      </c>
      <c r="AE28" s="344" t="str">
        <f t="shared" si="3"/>
        <v/>
      </c>
      <c r="AF28" s="345" t="str">
        <f t="shared" si="4"/>
        <v/>
      </c>
      <c r="AG28" s="98" t="str">
        <f t="shared" si="5"/>
        <v/>
      </c>
      <c r="AH28" s="94" t="str">
        <f>IF(T28="","",VLOOKUP(T28,'11. Lists'!$B$47:$D$49,3,FALSE))</f>
        <v/>
      </c>
      <c r="AI28" s="95" t="str">
        <f>IF(D28="","",VLOOKUP(D28,'10. Condition and Temporal'!$B$6:$L$103,4,FALSE))</f>
        <v/>
      </c>
    </row>
    <row r="29" spans="2:35" s="26" customFormat="1" ht="30" x14ac:dyDescent="0.25">
      <c r="B29" s="298">
        <v>19</v>
      </c>
      <c r="C29" s="445" t="s">
        <v>954</v>
      </c>
      <c r="D29" s="632"/>
      <c r="E29" s="633"/>
      <c r="F29" s="702"/>
      <c r="G29" s="703"/>
      <c r="H29" s="704"/>
      <c r="I29" s="351"/>
      <c r="J29" s="352"/>
      <c r="K29" s="353"/>
      <c r="L29" s="340" t="str">
        <f t="shared" si="0"/>
        <v/>
      </c>
      <c r="M29" s="347" t="str">
        <f t="shared" si="1"/>
        <v/>
      </c>
      <c r="N29" s="336" t="str">
        <f t="shared" si="2"/>
        <v/>
      </c>
      <c r="O29" s="70"/>
      <c r="P29" s="8"/>
      <c r="R29" s="664"/>
      <c r="T29" s="593" t="str">
        <f>IF(D29="","",VLOOKUP(D29,'9. All Habitats + Multipliers'!$C$4:$K$102,5,FALSE))</f>
        <v/>
      </c>
      <c r="U29" s="594"/>
      <c r="V29" s="393" t="str">
        <f>IF(T29="","",VLOOKUP(T29,'11. Lists'!$S$47:$U$50,2,FALSE))</f>
        <v/>
      </c>
      <c r="W29" s="94" t="str">
        <f>IF(D29="","",VLOOKUP(D29,'10. Condition and Temporal'!$B$6:$C$103,2,FALSE))</f>
        <v/>
      </c>
      <c r="X29" s="95" t="str">
        <f>IF(W29="","",VLOOKUP(W29,'11. Lists'!$F$47:$G$51,2,FALSE))</f>
        <v/>
      </c>
      <c r="Y29" s="49"/>
      <c r="Z29" s="49"/>
      <c r="AA29" s="49"/>
      <c r="AB29" s="205" t="str">
        <f t="shared" si="6"/>
        <v/>
      </c>
      <c r="AC29" s="96" t="str">
        <f>IF(AB29="","",VLOOKUP(AB29,'11. Lists'!$F$36:$H$38,2,FALSE))</f>
        <v/>
      </c>
      <c r="AD29" s="95" t="str">
        <f>IF(AB29="","",VLOOKUP(AB29,'11. Lists'!$F$36:$H$38,3,FALSE))</f>
        <v/>
      </c>
      <c r="AE29" s="344" t="str">
        <f t="shared" si="3"/>
        <v/>
      </c>
      <c r="AF29" s="345" t="str">
        <f t="shared" si="4"/>
        <v/>
      </c>
      <c r="AG29" s="98" t="str">
        <f t="shared" si="5"/>
        <v/>
      </c>
      <c r="AH29" s="94" t="str">
        <f>IF(T29="","",VLOOKUP(T29,'11. Lists'!$B$47:$D$49,3,FALSE))</f>
        <v/>
      </c>
      <c r="AI29" s="95" t="str">
        <f>IF(D29="","",VLOOKUP(D29,'10. Condition and Temporal'!$B$6:$L$103,4,FALSE))</f>
        <v/>
      </c>
    </row>
    <row r="30" spans="2:35" s="26" customFormat="1" ht="30.75" thickBot="1" x14ac:dyDescent="0.3">
      <c r="B30" s="299">
        <v>20</v>
      </c>
      <c r="C30" s="446" t="s">
        <v>954</v>
      </c>
      <c r="D30" s="811"/>
      <c r="E30" s="812"/>
      <c r="F30" s="826"/>
      <c r="G30" s="827"/>
      <c r="H30" s="828"/>
      <c r="I30" s="354"/>
      <c r="J30" s="355"/>
      <c r="K30" s="356"/>
      <c r="L30" s="338" t="str">
        <f t="shared" si="0"/>
        <v/>
      </c>
      <c r="M30" s="361" t="str">
        <f t="shared" si="1"/>
        <v/>
      </c>
      <c r="N30" s="339" t="str">
        <f t="shared" si="2"/>
        <v/>
      </c>
      <c r="O30" s="71"/>
      <c r="P30" s="4"/>
      <c r="R30" s="664"/>
      <c r="T30" s="593" t="str">
        <f>IF(D30="","",VLOOKUP(D30,'9. All Habitats + Multipliers'!$C$4:$K$102,5,FALSE))</f>
        <v/>
      </c>
      <c r="U30" s="594"/>
      <c r="V30" s="393" t="str">
        <f>IF(T30="","",VLOOKUP(T30,'11. Lists'!$S$47:$U$50,2,FALSE))</f>
        <v/>
      </c>
      <c r="W30" s="100" t="str">
        <f>IF(D30="","",VLOOKUP(D30,'10. Condition and Temporal'!$B$6:$C$103,2,FALSE))</f>
        <v/>
      </c>
      <c r="X30" s="101" t="str">
        <f>IF(W30="","",VLOOKUP(W30,'11. Lists'!$F$47:$G$51,2,FALSE))</f>
        <v/>
      </c>
      <c r="Y30" s="49"/>
      <c r="Z30" s="49"/>
      <c r="AA30" s="49"/>
      <c r="AB30" s="205" t="str">
        <f t="shared" si="6"/>
        <v/>
      </c>
      <c r="AC30" s="96" t="str">
        <f>IF(AB30="","",VLOOKUP(AB30,'11. Lists'!$F$36:$H$38,2,FALSE))</f>
        <v/>
      </c>
      <c r="AD30" s="95" t="str">
        <f>IF(AB30="","",VLOOKUP(AB30,'11. Lists'!$F$36:$H$38,3,FALSE))</f>
        <v/>
      </c>
      <c r="AE30" s="344" t="str">
        <f t="shared" si="3"/>
        <v/>
      </c>
      <c r="AF30" s="345" t="str">
        <f t="shared" si="4"/>
        <v/>
      </c>
      <c r="AG30" s="98" t="str">
        <f t="shared" si="5"/>
        <v/>
      </c>
      <c r="AH30" s="94" t="str">
        <f>IF(T30="","",VLOOKUP(T30,'11. Lists'!$B$47:$D$49,3,FALSE))</f>
        <v/>
      </c>
      <c r="AI30" s="95" t="str">
        <f>IF(D30="","",VLOOKUP(D30,'10. Condition and Temporal'!$B$6:$L$103,4,FALSE))</f>
        <v/>
      </c>
    </row>
    <row r="31" spans="2:35" s="26" customFormat="1" x14ac:dyDescent="0.25">
      <c r="D31" s="90"/>
      <c r="E31" s="105"/>
      <c r="F31" s="105"/>
      <c r="G31" s="105"/>
      <c r="H31" s="305" t="s">
        <v>194</v>
      </c>
      <c r="I31" s="357">
        <f t="shared" ref="I31:N31" si="7">SUM(I11:I30)</f>
        <v>0</v>
      </c>
      <c r="J31" s="358">
        <f t="shared" si="7"/>
        <v>0</v>
      </c>
      <c r="K31" s="359">
        <f t="shared" si="7"/>
        <v>0</v>
      </c>
      <c r="L31" s="313">
        <f t="shared" si="7"/>
        <v>0</v>
      </c>
      <c r="M31" s="365">
        <f t="shared" si="7"/>
        <v>0</v>
      </c>
      <c r="N31" s="314">
        <f t="shared" si="7"/>
        <v>0</v>
      </c>
      <c r="R31" s="664"/>
    </row>
    <row r="32" spans="2:35" s="26" customFormat="1" x14ac:dyDescent="0.25">
      <c r="D32" s="90"/>
      <c r="E32" s="105"/>
      <c r="F32" s="105"/>
      <c r="G32" s="105"/>
      <c r="H32" s="335" t="s">
        <v>82</v>
      </c>
      <c r="I32" s="819" t="str">
        <f>IF(I31&lt;J31+K31,"Error - Lengths Retained and Enhanced Exceed Total Length ▲","Lengths Acceptable 🗸")</f>
        <v>Lengths Acceptable 🗸</v>
      </c>
      <c r="J32" s="819"/>
      <c r="K32" s="819"/>
      <c r="L32" s="819"/>
      <c r="M32" s="819"/>
      <c r="N32" s="820"/>
      <c r="O32" s="166">
        <f>IFERROR(FIND("Error",I32),0)</f>
        <v>0</v>
      </c>
      <c r="R32" s="106"/>
    </row>
    <row r="33" spans="2:34" s="26" customFormat="1" ht="15.75" thickBot="1" x14ac:dyDescent="0.3">
      <c r="D33" s="90"/>
      <c r="E33" s="105"/>
      <c r="F33" s="105"/>
      <c r="G33" s="105"/>
      <c r="H33" s="306" t="s">
        <v>83</v>
      </c>
      <c r="I33" s="783" t="str">
        <f>IF(I31&lt;5000,"Lengths Acceptable 🗸",IF(I31&gt;=5000,"Length Exceeds Length Appropriate for Small Sites Metric ▲"))</f>
        <v>Lengths Acceptable 🗸</v>
      </c>
      <c r="J33" s="783"/>
      <c r="K33" s="783"/>
      <c r="L33" s="783"/>
      <c r="M33" s="783"/>
      <c r="N33" s="784"/>
      <c r="O33" s="166">
        <f>COUNTIF(L11:N30,"*"&amp;"error"&amp;"*")</f>
        <v>0</v>
      </c>
      <c r="R33" s="106"/>
    </row>
    <row r="34" spans="2:34" s="26" customFormat="1" x14ac:dyDescent="0.25">
      <c r="D34" s="90"/>
      <c r="E34" s="105"/>
      <c r="F34" s="105"/>
      <c r="G34" s="105"/>
      <c r="H34" s="105"/>
      <c r="I34" s="105"/>
      <c r="J34" s="105"/>
      <c r="K34" s="105"/>
      <c r="L34" s="105"/>
      <c r="M34" s="105"/>
      <c r="N34" s="105"/>
      <c r="O34" s="105"/>
      <c r="R34" s="664" t="s">
        <v>45</v>
      </c>
    </row>
    <row r="35" spans="2:34" s="26" customFormat="1" ht="21" x14ac:dyDescent="0.35">
      <c r="B35" s="58" t="s">
        <v>85</v>
      </c>
      <c r="D35" s="89"/>
      <c r="E35" s="105"/>
      <c r="F35" s="105"/>
      <c r="G35" s="105"/>
      <c r="I35" s="27"/>
      <c r="R35" s="664"/>
    </row>
    <row r="36" spans="2:34" s="26" customFormat="1" ht="15.75" customHeight="1" thickBot="1" x14ac:dyDescent="0.3">
      <c r="R36" s="664"/>
    </row>
    <row r="37" spans="2:34" s="26" customFormat="1" ht="16.149999999999999" customHeight="1" x14ac:dyDescent="0.25">
      <c r="B37" s="672" t="s">
        <v>39</v>
      </c>
      <c r="C37" s="679"/>
      <c r="D37" s="680"/>
      <c r="E37" s="674" t="s">
        <v>86</v>
      </c>
      <c r="F37" s="718"/>
      <c r="G37" s="687"/>
      <c r="H37" s="718" t="s">
        <v>87</v>
      </c>
      <c r="I37" s="692" t="s">
        <v>999</v>
      </c>
      <c r="J37" s="693"/>
      <c r="K37" s="694"/>
      <c r="L37" s="674" t="s">
        <v>1015</v>
      </c>
      <c r="M37" s="679"/>
      <c r="N37" s="687"/>
      <c r="O37" s="705" t="s">
        <v>54</v>
      </c>
      <c r="P37" s="687"/>
      <c r="R37" s="664"/>
      <c r="T37" s="603" t="s">
        <v>55</v>
      </c>
      <c r="U37" s="604"/>
      <c r="V37" s="836"/>
      <c r="W37" s="603" t="s">
        <v>56</v>
      </c>
      <c r="X37" s="605"/>
      <c r="Y37" s="699"/>
      <c r="Z37" s="699"/>
      <c r="AA37" s="699"/>
      <c r="AB37" s="698" t="s">
        <v>57</v>
      </c>
      <c r="AC37" s="604"/>
      <c r="AD37" s="605"/>
      <c r="AE37" s="603" t="s">
        <v>89</v>
      </c>
      <c r="AF37" s="605"/>
      <c r="AG37" s="603" t="s">
        <v>90</v>
      </c>
      <c r="AH37" s="605"/>
    </row>
    <row r="38" spans="2:34" s="26" customFormat="1" ht="32.25" thickBot="1" x14ac:dyDescent="0.3">
      <c r="B38" s="673"/>
      <c r="C38" s="218" t="s">
        <v>61</v>
      </c>
      <c r="D38" s="219" t="s">
        <v>91</v>
      </c>
      <c r="E38" s="87" t="s">
        <v>92</v>
      </c>
      <c r="F38" s="619" t="s">
        <v>93</v>
      </c>
      <c r="G38" s="644"/>
      <c r="H38" s="620"/>
      <c r="I38" s="695"/>
      <c r="J38" s="696"/>
      <c r="K38" s="697"/>
      <c r="L38" s="816"/>
      <c r="M38" s="817"/>
      <c r="N38" s="818"/>
      <c r="O38" s="217" t="s">
        <v>69</v>
      </c>
      <c r="P38" s="91" t="s">
        <v>70</v>
      </c>
      <c r="R38" s="664"/>
      <c r="T38" s="601" t="s">
        <v>71</v>
      </c>
      <c r="U38" s="602"/>
      <c r="V38" s="390" t="s">
        <v>72</v>
      </c>
      <c r="W38" s="92" t="s">
        <v>73</v>
      </c>
      <c r="X38" s="93" t="s">
        <v>72</v>
      </c>
      <c r="Y38" s="395"/>
      <c r="Z38" s="395"/>
      <c r="AA38" s="395"/>
      <c r="AB38" s="383" t="s">
        <v>57</v>
      </c>
      <c r="AC38" s="50" t="s">
        <v>57</v>
      </c>
      <c r="AD38" s="93" t="s">
        <v>74</v>
      </c>
      <c r="AE38" s="92" t="s">
        <v>94</v>
      </c>
      <c r="AF38" s="93" t="s">
        <v>95</v>
      </c>
      <c r="AG38" s="92" t="s">
        <v>96</v>
      </c>
      <c r="AH38" s="93" t="s">
        <v>97</v>
      </c>
    </row>
    <row r="39" spans="2:34" s="26" customFormat="1" ht="30" x14ac:dyDescent="0.25">
      <c r="B39" s="297">
        <v>1</v>
      </c>
      <c r="C39" s="443" t="s">
        <v>954</v>
      </c>
      <c r="D39" s="74"/>
      <c r="E39" s="107" t="str">
        <f>IF(D39="","",VLOOKUP(D39,'10. Condition and Temporal'!$B$6:$D$103,3,FALSE))</f>
        <v/>
      </c>
      <c r="F39" s="821"/>
      <c r="G39" s="822"/>
      <c r="H39" s="73"/>
      <c r="I39" s="657"/>
      <c r="J39" s="658"/>
      <c r="K39" s="658"/>
      <c r="L39" s="823" t="str">
        <f>IF(D39="","",IFERROR(IF(I39="","",((I39/1000)*(V39*X39))*(AH39*AF39)*AD39),"This intervention is not permitted within the SSM ▲"))</f>
        <v/>
      </c>
      <c r="M39" s="824"/>
      <c r="N39" s="825"/>
      <c r="O39" s="231"/>
      <c r="P39" s="1"/>
      <c r="Q39" s="108"/>
      <c r="R39" s="664"/>
      <c r="T39" s="593" t="str">
        <f>IF(D39="","",VLOOKUP(D39,'9. All Habitats + Multipliers'!$C$4:$K$102,5,FALSE))</f>
        <v/>
      </c>
      <c r="U39" s="594"/>
      <c r="V39" s="393" t="str">
        <f>IF(T39="","",VLOOKUP(T39,'11. Lists'!$S$47:$U$50,2,FALSE))</f>
        <v/>
      </c>
      <c r="W39" s="94" t="str">
        <f>IF(F39="","",F39)</f>
        <v/>
      </c>
      <c r="X39" s="95" t="str">
        <f>IF(W39="","",VLOOKUP(W39,'11. Lists'!$F$47:$G$51,2,FALSE))</f>
        <v/>
      </c>
      <c r="Y39" s="49"/>
      <c r="Z39" s="49"/>
      <c r="AA39" s="49"/>
      <c r="AB39" s="205" t="str">
        <f>IF(H39="","",H39)</f>
        <v/>
      </c>
      <c r="AC39" s="96" t="str">
        <f>IF(AB39="","",VLOOKUP(AB39,'11. Lists'!$F$36:$H$38,2,FALSE))</f>
        <v/>
      </c>
      <c r="AD39" s="95" t="str">
        <f>IF(AB39="","",VLOOKUP(AB39,'11. Lists'!$F$36:$H$38,3,FALSE))</f>
        <v/>
      </c>
      <c r="AE39" s="94" t="str">
        <f>IF(F39="","",IF(F39="Moderate",VLOOKUP(D39,'10. Condition and Temporal'!$B$6:$L$103,6,FALSE),IF(F39="Good",VLOOKUP(D39,'10. Condition and Temporal'!$B$6:$L$103,7,FALSE),IF(F39="Poor",VLOOKUP(D39,'10. Condition and Temporal'!$B$6:$L$103,8,FALSE),IF(F39="Condition Assessment N/A",VLOOKUP(D39,'10. Condition and Temporal'!$B$6:$L$103,9,FALSE),IF(F39="N/A - Other",VLOOKUP(D39,'10. Condition and Temporal'!$B$6:$L$103,10,FALSE)))))))</f>
        <v/>
      </c>
      <c r="AF39" s="109" t="str">
        <f>IF(AE39="","",VLOOKUP(AE39,'11. Lists'!$I$47:$K$80,3,FALSE))</f>
        <v/>
      </c>
      <c r="AG39" s="94" t="str">
        <f>IF(D39="","",VLOOKUP(D39,'9. All Habitats + Multipliers'!$C$4:$K$102,7,FALSE))</f>
        <v/>
      </c>
      <c r="AH39" s="95" t="str">
        <f>IF(AG39="","",VLOOKUP(AG39,'11. Lists'!$J$35:$K$38,2,FALSE))</f>
        <v/>
      </c>
    </row>
    <row r="40" spans="2:34" s="26" customFormat="1" ht="30" x14ac:dyDescent="0.25">
      <c r="B40" s="298">
        <v>2</v>
      </c>
      <c r="C40" s="443" t="s">
        <v>954</v>
      </c>
      <c r="D40" s="74"/>
      <c r="E40" s="107" t="str">
        <f>IF(D40="","",VLOOKUP(D40,'10. Condition and Temporal'!$B$6:$D$103,3,FALSE))</f>
        <v/>
      </c>
      <c r="F40" s="794"/>
      <c r="G40" s="795"/>
      <c r="H40" s="72"/>
      <c r="I40" s="657"/>
      <c r="J40" s="658"/>
      <c r="K40" s="658"/>
      <c r="L40" s="796" t="str">
        <f t="shared" ref="L40:L58" si="8">IF(D40="","",IFERROR(IF(I40="","",((I40/1000)*(V40*X40))*(AH40*AF40)*AD40),"This intervention is not permitted within the SSM ▲"))</f>
        <v/>
      </c>
      <c r="M40" s="797"/>
      <c r="N40" s="798"/>
      <c r="O40" s="75"/>
      <c r="P40" s="12"/>
      <c r="Q40" s="108"/>
      <c r="R40" s="664"/>
      <c r="T40" s="593" t="str">
        <f>IF(D40="","",VLOOKUP(D40,'9. All Habitats + Multipliers'!$C$4:$K$102,5,FALSE))</f>
        <v/>
      </c>
      <c r="U40" s="594"/>
      <c r="V40" s="393" t="str">
        <f>IF(T40="","",VLOOKUP(T40,'11. Lists'!$S$47:$U$50,2,FALSE))</f>
        <v/>
      </c>
      <c r="W40" s="94" t="str">
        <f>IF(F40="","",F40)</f>
        <v/>
      </c>
      <c r="X40" s="95" t="str">
        <f>IF(W40="","",VLOOKUP(W40,'11. Lists'!$F$47:$G$51,2,FALSE))</f>
        <v/>
      </c>
      <c r="Y40" s="49"/>
      <c r="Z40" s="49"/>
      <c r="AA40" s="49"/>
      <c r="AB40" s="205" t="str">
        <f t="shared" ref="AB40:AB58" si="9">IF(H40="","",H40)</f>
        <v/>
      </c>
      <c r="AC40" s="96" t="str">
        <f>IF(AB40="","",VLOOKUP(AB40,'11. Lists'!$F$36:$H$38,2,FALSE))</f>
        <v/>
      </c>
      <c r="AD40" s="95" t="str">
        <f>IF(AB40="","",VLOOKUP(AB40,'11. Lists'!$F$36:$H$38,3,FALSE))</f>
        <v/>
      </c>
      <c r="AE40" s="94" t="str">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
      </c>
      <c r="AF40" s="109" t="str">
        <f>IF(AE40="","",VLOOKUP(AE40,'11. Lists'!$I$47:$K$80,3,FALSE))</f>
        <v/>
      </c>
      <c r="AG40" s="94" t="str">
        <f>IF(D40="","",VLOOKUP(D40,'9. All Habitats + Multipliers'!$C$4:$K$102,7,FALSE))</f>
        <v/>
      </c>
      <c r="AH40" s="95" t="str">
        <f>IF(AG40="","",VLOOKUP(AG40,'11. Lists'!$J$35:$K$38,2,FALSE))</f>
        <v/>
      </c>
    </row>
    <row r="41" spans="2:34" s="26" customFormat="1" ht="30" x14ac:dyDescent="0.25">
      <c r="B41" s="298">
        <v>3</v>
      </c>
      <c r="C41" s="443" t="s">
        <v>954</v>
      </c>
      <c r="D41" s="74"/>
      <c r="E41" s="107" t="str">
        <f>IF(D41="","",VLOOKUP(D41,'10. Condition and Temporal'!$B$6:$D$103,3,FALSE))</f>
        <v/>
      </c>
      <c r="F41" s="794"/>
      <c r="G41" s="795"/>
      <c r="H41" s="72"/>
      <c r="I41" s="657"/>
      <c r="J41" s="658"/>
      <c r="K41" s="658"/>
      <c r="L41" s="796" t="str">
        <f t="shared" si="8"/>
        <v/>
      </c>
      <c r="M41" s="797"/>
      <c r="N41" s="798"/>
      <c r="O41" s="75"/>
      <c r="P41" s="12"/>
      <c r="Q41" s="108"/>
      <c r="R41" s="664"/>
      <c r="T41" s="593" t="str">
        <f>IF(D41="","",VLOOKUP(D41,'9. All Habitats + Multipliers'!$C$4:$K$102,5,FALSE))</f>
        <v/>
      </c>
      <c r="U41" s="594"/>
      <c r="V41" s="393" t="str">
        <f>IF(T41="","",VLOOKUP(T41,'11. Lists'!$S$47:$U$50,2,FALSE))</f>
        <v/>
      </c>
      <c r="W41" s="94" t="str">
        <f>IF(F41="","",F41)</f>
        <v/>
      </c>
      <c r="X41" s="95" t="str">
        <f>IF(W41="","",VLOOKUP(W41,'11. Lists'!$F$47:$G$51,2,FALSE))</f>
        <v/>
      </c>
      <c r="Y41" s="49"/>
      <c r="Z41" s="49"/>
      <c r="AA41" s="49"/>
      <c r="AB41" s="205" t="str">
        <f t="shared" si="9"/>
        <v/>
      </c>
      <c r="AC41" s="96" t="str">
        <f>IF(AB41="","",VLOOKUP(AB41,'11. Lists'!$F$36:$H$38,2,FALSE))</f>
        <v/>
      </c>
      <c r="AD41" s="95" t="str">
        <f>IF(AB41="","",VLOOKUP(AB41,'11. Lists'!$F$36:$H$38,3,FALSE))</f>
        <v/>
      </c>
      <c r="AE41" s="94" t="str">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
      </c>
      <c r="AF41" s="109" t="str">
        <f>IF(AE41="","",VLOOKUP(AE41,'11. Lists'!$I$47:$K$80,3,FALSE))</f>
        <v/>
      </c>
      <c r="AG41" s="94" t="str">
        <f>IF(D41="","",VLOOKUP(D41,'9. All Habitats + Multipliers'!$C$4:$K$102,7,FALSE))</f>
        <v/>
      </c>
      <c r="AH41" s="95" t="str">
        <f>IF(AG41="","",VLOOKUP(AG41,'11. Lists'!$J$35:$K$38,2,FALSE))</f>
        <v/>
      </c>
    </row>
    <row r="42" spans="2:34" s="26" customFormat="1" ht="30" x14ac:dyDescent="0.25">
      <c r="B42" s="298">
        <v>4</v>
      </c>
      <c r="C42" s="443" t="s">
        <v>954</v>
      </c>
      <c r="D42" s="74"/>
      <c r="E42" s="107" t="str">
        <f>IF(D42="","",VLOOKUP(D42,'10. Condition and Temporal'!$B$6:$D$103,3,FALSE))</f>
        <v/>
      </c>
      <c r="F42" s="794"/>
      <c r="G42" s="795"/>
      <c r="H42" s="72"/>
      <c r="I42" s="657"/>
      <c r="J42" s="658"/>
      <c r="K42" s="658"/>
      <c r="L42" s="796" t="str">
        <f t="shared" si="8"/>
        <v/>
      </c>
      <c r="M42" s="797"/>
      <c r="N42" s="798"/>
      <c r="O42" s="75"/>
      <c r="P42" s="12"/>
      <c r="Q42" s="108"/>
      <c r="R42" s="664"/>
      <c r="T42" s="593" t="str">
        <f>IF(D42="","",VLOOKUP(D42,'9. All Habitats + Multipliers'!$C$4:$K$102,5,FALSE))</f>
        <v/>
      </c>
      <c r="U42" s="594"/>
      <c r="V42" s="393" t="str">
        <f>IF(T42="","",VLOOKUP(T42,'11. Lists'!$S$47:$U$50,2,FALSE))</f>
        <v/>
      </c>
      <c r="W42" s="94" t="str">
        <f>IF(F42="","",F42)</f>
        <v/>
      </c>
      <c r="X42" s="95" t="str">
        <f>IF(W42="","",VLOOKUP(W42,'11. Lists'!$F$47:$G$51,2,FALSE))</f>
        <v/>
      </c>
      <c r="Y42" s="49"/>
      <c r="Z42" s="49"/>
      <c r="AA42" s="49"/>
      <c r="AB42" s="205" t="str">
        <f t="shared" si="9"/>
        <v/>
      </c>
      <c r="AC42" s="96" t="str">
        <f>IF(AB42="","",VLOOKUP(AB42,'11. Lists'!$F$36:$H$38,2,FALSE))</f>
        <v/>
      </c>
      <c r="AD42" s="95" t="str">
        <f>IF(AB42="","",VLOOKUP(AB42,'11. Lists'!$F$36:$H$38,3,FALSE))</f>
        <v/>
      </c>
      <c r="AE42" s="94" t="str">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
      </c>
      <c r="AF42" s="109" t="str">
        <f>IF(AE42="","",VLOOKUP(AE42,'11. Lists'!$I$47:$K$80,3,FALSE))</f>
        <v/>
      </c>
      <c r="AG42" s="94" t="str">
        <f>IF(D42="","",VLOOKUP(D42,'9. All Habitats + Multipliers'!$C$4:$K$102,7,FALSE))</f>
        <v/>
      </c>
      <c r="AH42" s="95" t="str">
        <f>IF(AG42="","",VLOOKUP(AG42,'11. Lists'!$J$35:$K$38,2,FALSE))</f>
        <v/>
      </c>
    </row>
    <row r="43" spans="2:34" s="26" customFormat="1" ht="30" x14ac:dyDescent="0.25">
      <c r="B43" s="298">
        <v>5</v>
      </c>
      <c r="C43" s="443" t="s">
        <v>954</v>
      </c>
      <c r="D43" s="74"/>
      <c r="E43" s="107" t="str">
        <f>IF(D43="","",VLOOKUP(D43,'10. Condition and Temporal'!$B$6:$D$103,3,FALSE))</f>
        <v/>
      </c>
      <c r="F43" s="794"/>
      <c r="G43" s="795"/>
      <c r="H43" s="72"/>
      <c r="I43" s="657"/>
      <c r="J43" s="658"/>
      <c r="K43" s="658"/>
      <c r="L43" s="796" t="str">
        <f t="shared" si="8"/>
        <v/>
      </c>
      <c r="M43" s="797"/>
      <c r="N43" s="798"/>
      <c r="O43" s="75"/>
      <c r="P43" s="12"/>
      <c r="R43" s="664"/>
      <c r="T43" s="593" t="str">
        <f>IF(D43="","",VLOOKUP(D43,'9. All Habitats + Multipliers'!$C$4:$K$102,5,FALSE))</f>
        <v/>
      </c>
      <c r="U43" s="594"/>
      <c r="V43" s="393" t="str">
        <f>IF(T43="","",VLOOKUP(T43,'11. Lists'!$S$47:$U$50,2,FALSE))</f>
        <v/>
      </c>
      <c r="W43" s="94" t="str">
        <f t="shared" ref="W43:W58" si="10">IF(F43="","",F43)</f>
        <v/>
      </c>
      <c r="X43" s="95" t="str">
        <f>IF(W43="","",VLOOKUP(W43,'11. Lists'!$F$47:$G$51,2,FALSE))</f>
        <v/>
      </c>
      <c r="Y43" s="49"/>
      <c r="Z43" s="49"/>
      <c r="AA43" s="49"/>
      <c r="AB43" s="205" t="str">
        <f t="shared" si="9"/>
        <v/>
      </c>
      <c r="AC43" s="96" t="str">
        <f>IF(AB43="","",VLOOKUP(AB43,'11. Lists'!$F$36:$H$38,2,FALSE))</f>
        <v/>
      </c>
      <c r="AD43" s="95" t="str">
        <f>IF(AB43="","",VLOOKUP(AB43,'11. Lists'!$F$36:$H$38,3,FALSE))</f>
        <v/>
      </c>
      <c r="AE43" s="94" t="str">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
      </c>
      <c r="AF43" s="109" t="str">
        <f>IF(AE43="","",VLOOKUP(AE43,'11. Lists'!$I$47:$K$80,3,FALSE))</f>
        <v/>
      </c>
      <c r="AG43" s="94" t="str">
        <f>IF(D43="","",VLOOKUP(D43,'9. All Habitats + Multipliers'!$C$4:$K$102,7,FALSE))</f>
        <v/>
      </c>
      <c r="AH43" s="95" t="str">
        <f>IF(AG43="","",VLOOKUP(AG43,'11. Lists'!$J$35:$K$38,2,FALSE))</f>
        <v/>
      </c>
    </row>
    <row r="44" spans="2:34" s="26" customFormat="1" ht="30" x14ac:dyDescent="0.25">
      <c r="B44" s="298">
        <v>6</v>
      </c>
      <c r="C44" s="443" t="s">
        <v>954</v>
      </c>
      <c r="D44" s="74"/>
      <c r="E44" s="107" t="str">
        <f>IF(D44="","",VLOOKUP(D44,'10. Condition and Temporal'!$B$6:$D$103,3,FALSE))</f>
        <v/>
      </c>
      <c r="F44" s="794"/>
      <c r="G44" s="795"/>
      <c r="H44" s="72"/>
      <c r="I44" s="657"/>
      <c r="J44" s="658"/>
      <c r="K44" s="658"/>
      <c r="L44" s="796" t="str">
        <f t="shared" si="8"/>
        <v/>
      </c>
      <c r="M44" s="797"/>
      <c r="N44" s="798"/>
      <c r="O44" s="75"/>
      <c r="P44" s="12"/>
      <c r="R44" s="664"/>
      <c r="T44" s="593" t="str">
        <f>IF(D44="","",VLOOKUP(D44,'9. All Habitats + Multipliers'!$C$4:$K$102,5,FALSE))</f>
        <v/>
      </c>
      <c r="U44" s="594"/>
      <c r="V44" s="393" t="str">
        <f>IF(T44="","",VLOOKUP(T44,'11. Lists'!$S$47:$U$50,2,FALSE))</f>
        <v/>
      </c>
      <c r="W44" s="94" t="str">
        <f t="shared" si="10"/>
        <v/>
      </c>
      <c r="X44" s="95" t="str">
        <f>IF(W44="","",VLOOKUP(W44,'11. Lists'!$F$47:$G$51,2,FALSE))</f>
        <v/>
      </c>
      <c r="Y44" s="49"/>
      <c r="Z44" s="49"/>
      <c r="AA44" s="49"/>
      <c r="AB44" s="205" t="str">
        <f t="shared" si="9"/>
        <v/>
      </c>
      <c r="AC44" s="96" t="str">
        <f>IF(AB44="","",VLOOKUP(AB44,'11. Lists'!$F$36:$H$38,2,FALSE))</f>
        <v/>
      </c>
      <c r="AD44" s="95" t="str">
        <f>IF(AB44="","",VLOOKUP(AB44,'11. Lists'!$F$36:$H$38,3,FALSE))</f>
        <v/>
      </c>
      <c r="AE44" s="94" t="str">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
      </c>
      <c r="AF44" s="109" t="str">
        <f>IF(AE44="","",VLOOKUP(AE44,'11. Lists'!$I$47:$K$80,3,FALSE))</f>
        <v/>
      </c>
      <c r="AG44" s="94" t="str">
        <f>IF(D44="","",VLOOKUP(D44,'9. All Habitats + Multipliers'!$C$4:$K$102,7,FALSE))</f>
        <v/>
      </c>
      <c r="AH44" s="95" t="str">
        <f>IF(AG44="","",VLOOKUP(AG44,'11. Lists'!$J$35:$K$38,2,FALSE))</f>
        <v/>
      </c>
    </row>
    <row r="45" spans="2:34" s="26" customFormat="1" ht="30" x14ac:dyDescent="0.25">
      <c r="B45" s="298">
        <v>7</v>
      </c>
      <c r="C45" s="443" t="s">
        <v>954</v>
      </c>
      <c r="D45" s="74"/>
      <c r="E45" s="107" t="str">
        <f>IF(D45="","",VLOOKUP(D45,'10. Condition and Temporal'!$B$6:$D$103,3,FALSE))</f>
        <v/>
      </c>
      <c r="F45" s="794"/>
      <c r="G45" s="795"/>
      <c r="H45" s="72"/>
      <c r="I45" s="657"/>
      <c r="J45" s="658"/>
      <c r="K45" s="658"/>
      <c r="L45" s="796" t="str">
        <f t="shared" si="8"/>
        <v/>
      </c>
      <c r="M45" s="797"/>
      <c r="N45" s="798"/>
      <c r="O45" s="75"/>
      <c r="P45" s="12"/>
      <c r="R45" s="664"/>
      <c r="T45" s="593" t="str">
        <f>IF(D45="","",VLOOKUP(D45,'9. All Habitats + Multipliers'!$C$4:$K$102,5,FALSE))</f>
        <v/>
      </c>
      <c r="U45" s="594"/>
      <c r="V45" s="393" t="str">
        <f>IF(T45="","",VLOOKUP(T45,'11. Lists'!$S$47:$U$50,2,FALSE))</f>
        <v/>
      </c>
      <c r="W45" s="94" t="str">
        <f t="shared" si="10"/>
        <v/>
      </c>
      <c r="X45" s="95" t="str">
        <f>IF(W45="","",VLOOKUP(W45,'11. Lists'!$F$47:$G$51,2,FALSE))</f>
        <v/>
      </c>
      <c r="Y45" s="49"/>
      <c r="Z45" s="49"/>
      <c r="AA45" s="49"/>
      <c r="AB45" s="205" t="str">
        <f t="shared" si="9"/>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30" x14ac:dyDescent="0.25">
      <c r="B46" s="298">
        <v>8</v>
      </c>
      <c r="C46" s="443" t="s">
        <v>954</v>
      </c>
      <c r="D46" s="74"/>
      <c r="E46" s="107" t="str">
        <f>IF(D46="","",VLOOKUP(D46,'10. Condition and Temporal'!$B$6:$D$103,3,FALSE))</f>
        <v/>
      </c>
      <c r="F46" s="794"/>
      <c r="G46" s="795"/>
      <c r="H46" s="72"/>
      <c r="I46" s="657"/>
      <c r="J46" s="658"/>
      <c r="K46" s="658"/>
      <c r="L46" s="796" t="str">
        <f t="shared" si="8"/>
        <v/>
      </c>
      <c r="M46" s="797"/>
      <c r="N46" s="798"/>
      <c r="O46" s="75"/>
      <c r="P46" s="12"/>
      <c r="R46" s="664"/>
      <c r="T46" s="593" t="str">
        <f>IF(D46="","",VLOOKUP(D46,'9. All Habitats + Multipliers'!$C$4:$K$102,5,FALSE))</f>
        <v/>
      </c>
      <c r="U46" s="594"/>
      <c r="V46" s="393" t="str">
        <f>IF(T46="","",VLOOKUP(T46,'11. Lists'!$S$47:$U$50,2,FALSE))</f>
        <v/>
      </c>
      <c r="W46" s="94" t="str">
        <f t="shared" si="10"/>
        <v/>
      </c>
      <c r="X46" s="95" t="str">
        <f>IF(W46="","",VLOOKUP(W46,'11. Lists'!$F$47:$G$51,2,FALSE))</f>
        <v/>
      </c>
      <c r="Y46" s="49"/>
      <c r="Z46" s="49"/>
      <c r="AA46" s="49"/>
      <c r="AB46" s="205" t="str">
        <f t="shared" si="9"/>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30" x14ac:dyDescent="0.25">
      <c r="B47" s="298">
        <v>9</v>
      </c>
      <c r="C47" s="443" t="s">
        <v>954</v>
      </c>
      <c r="D47" s="74"/>
      <c r="E47" s="107" t="str">
        <f>IF(D47="","",VLOOKUP(D47,'10. Condition and Temporal'!$B$6:$D$103,3,FALSE))</f>
        <v/>
      </c>
      <c r="F47" s="794"/>
      <c r="G47" s="795"/>
      <c r="H47" s="72"/>
      <c r="I47" s="657"/>
      <c r="J47" s="658"/>
      <c r="K47" s="658"/>
      <c r="L47" s="796" t="str">
        <f t="shared" si="8"/>
        <v/>
      </c>
      <c r="M47" s="797"/>
      <c r="N47" s="798"/>
      <c r="O47" s="75"/>
      <c r="P47" s="12"/>
      <c r="R47" s="664"/>
      <c r="T47" s="593" t="str">
        <f>IF(D47="","",VLOOKUP(D47,'9. All Habitats + Multipliers'!$C$4:$K$102,5,FALSE))</f>
        <v/>
      </c>
      <c r="U47" s="594"/>
      <c r="V47" s="393" t="str">
        <f>IF(T47="","",VLOOKUP(T47,'11. Lists'!$S$47:$U$50,2,FALSE))</f>
        <v/>
      </c>
      <c r="W47" s="94" t="str">
        <f t="shared" si="10"/>
        <v/>
      </c>
      <c r="X47" s="95" t="str">
        <f>IF(W47="","",VLOOKUP(W47,'11. Lists'!$F$47:$G$51,2,FALSE))</f>
        <v/>
      </c>
      <c r="Y47" s="49"/>
      <c r="Z47" s="49"/>
      <c r="AA47" s="49"/>
      <c r="AB47" s="205" t="str">
        <f t="shared" si="9"/>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30" x14ac:dyDescent="0.25">
      <c r="B48" s="298">
        <v>10</v>
      </c>
      <c r="C48" s="444" t="s">
        <v>954</v>
      </c>
      <c r="D48" s="74"/>
      <c r="E48" s="107" t="str">
        <f>IF(D48="","",VLOOKUP(D48,'10. Condition and Temporal'!$B$6:$D$103,3,FALSE))</f>
        <v/>
      </c>
      <c r="F48" s="794"/>
      <c r="G48" s="795"/>
      <c r="H48" s="72"/>
      <c r="I48" s="657"/>
      <c r="J48" s="658"/>
      <c r="K48" s="658"/>
      <c r="L48" s="796" t="str">
        <f t="shared" si="8"/>
        <v/>
      </c>
      <c r="M48" s="797"/>
      <c r="N48" s="798"/>
      <c r="O48" s="75"/>
      <c r="P48" s="12"/>
      <c r="R48" s="664"/>
      <c r="T48" s="593" t="str">
        <f>IF(D48="","",VLOOKUP(D48,'9. All Habitats + Multipliers'!$C$4:$K$102,5,FALSE))</f>
        <v/>
      </c>
      <c r="U48" s="594"/>
      <c r="V48" s="393" t="str">
        <f>IF(T48="","",VLOOKUP(T48,'11. Lists'!$S$47:$U$50,2,FALSE))</f>
        <v/>
      </c>
      <c r="W48" s="94" t="str">
        <f t="shared" si="10"/>
        <v/>
      </c>
      <c r="X48" s="95" t="str">
        <f>IF(W48="","",VLOOKUP(W48,'11. Lists'!$F$47:$G$51,2,FALSE))</f>
        <v/>
      </c>
      <c r="Y48" s="49"/>
      <c r="Z48" s="49"/>
      <c r="AA48" s="49"/>
      <c r="AB48" s="205" t="str">
        <f t="shared" si="9"/>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1:73" s="26" customFormat="1" ht="30" x14ac:dyDescent="0.25">
      <c r="B49" s="298">
        <v>11</v>
      </c>
      <c r="C49" s="443" t="s">
        <v>954</v>
      </c>
      <c r="D49" s="74"/>
      <c r="E49" s="107" t="str">
        <f>IF(D49="","",VLOOKUP(D49,'10. Condition and Temporal'!$B$6:$D$103,3,FALSE))</f>
        <v/>
      </c>
      <c r="F49" s="794"/>
      <c r="G49" s="795"/>
      <c r="H49" s="72"/>
      <c r="I49" s="657"/>
      <c r="J49" s="658"/>
      <c r="K49" s="658"/>
      <c r="L49" s="796" t="str">
        <f t="shared" si="8"/>
        <v/>
      </c>
      <c r="M49" s="797"/>
      <c r="N49" s="798"/>
      <c r="O49" s="75"/>
      <c r="P49" s="12"/>
      <c r="R49" s="664"/>
      <c r="T49" s="593" t="str">
        <f>IF(D49="","",VLOOKUP(D49,'9. All Habitats + Multipliers'!$C$4:$K$102,5,FALSE))</f>
        <v/>
      </c>
      <c r="U49" s="594"/>
      <c r="V49" s="393" t="str">
        <f>IF(T49="","",VLOOKUP(T49,'11. Lists'!$S$47:$U$50,2,FALSE))</f>
        <v/>
      </c>
      <c r="W49" s="94" t="str">
        <f t="shared" si="10"/>
        <v/>
      </c>
      <c r="X49" s="95" t="str">
        <f>IF(W49="","",VLOOKUP(W49,'11. Lists'!$F$47:$G$51,2,FALSE))</f>
        <v/>
      </c>
      <c r="Y49" s="49"/>
      <c r="Z49" s="49"/>
      <c r="AA49" s="49"/>
      <c r="AB49" s="205" t="str">
        <f t="shared" si="9"/>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1:73" s="26" customFormat="1" ht="30" x14ac:dyDescent="0.25">
      <c r="B50" s="298">
        <v>12</v>
      </c>
      <c r="C50" s="443" t="s">
        <v>954</v>
      </c>
      <c r="D50" s="74"/>
      <c r="E50" s="107" t="str">
        <f>IF(D50="","",VLOOKUP(D50,'10. Condition and Temporal'!$B$6:$D$103,3,FALSE))</f>
        <v/>
      </c>
      <c r="F50" s="794"/>
      <c r="G50" s="795"/>
      <c r="H50" s="72"/>
      <c r="I50" s="657"/>
      <c r="J50" s="658"/>
      <c r="K50" s="658"/>
      <c r="L50" s="796" t="str">
        <f t="shared" si="8"/>
        <v/>
      </c>
      <c r="M50" s="797"/>
      <c r="N50" s="798"/>
      <c r="O50" s="75"/>
      <c r="P50" s="12"/>
      <c r="R50" s="664"/>
      <c r="T50" s="593" t="str">
        <f>IF(D50="","",VLOOKUP(D50,'9. All Habitats + Multipliers'!$C$4:$K$102,5,FALSE))</f>
        <v/>
      </c>
      <c r="U50" s="594"/>
      <c r="V50" s="393" t="str">
        <f>IF(T50="","",VLOOKUP(T50,'11. Lists'!$S$47:$U$50,2,FALSE))</f>
        <v/>
      </c>
      <c r="W50" s="94" t="str">
        <f t="shared" si="10"/>
        <v/>
      </c>
      <c r="X50" s="95" t="str">
        <f>IF(W50="","",VLOOKUP(W50,'11. Lists'!$F$47:$G$51,2,FALSE))</f>
        <v/>
      </c>
      <c r="Y50" s="49"/>
      <c r="Z50" s="49"/>
      <c r="AA50" s="49"/>
      <c r="AB50" s="205" t="str">
        <f t="shared" si="9"/>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1:73" s="26" customFormat="1" ht="30" x14ac:dyDescent="0.25">
      <c r="B51" s="298">
        <v>13</v>
      </c>
      <c r="C51" s="443" t="s">
        <v>954</v>
      </c>
      <c r="D51" s="74"/>
      <c r="E51" s="107" t="str">
        <f>IF(D51="","",VLOOKUP(D51,'10. Condition and Temporal'!$B$6:$D$103,3,FALSE))</f>
        <v/>
      </c>
      <c r="F51" s="794"/>
      <c r="G51" s="795"/>
      <c r="H51" s="72"/>
      <c r="I51" s="657"/>
      <c r="J51" s="658"/>
      <c r="K51" s="658"/>
      <c r="L51" s="796" t="str">
        <f t="shared" si="8"/>
        <v/>
      </c>
      <c r="M51" s="797"/>
      <c r="N51" s="798"/>
      <c r="O51" s="75"/>
      <c r="P51" s="12"/>
      <c r="R51" s="664"/>
      <c r="T51" s="593" t="str">
        <f>IF(D51="","",VLOOKUP(D51,'9. All Habitats + Multipliers'!$C$4:$K$102,5,FALSE))</f>
        <v/>
      </c>
      <c r="U51" s="594"/>
      <c r="V51" s="393" t="str">
        <f>IF(T51="","",VLOOKUP(T51,'11. Lists'!$S$47:$U$50,2,FALSE))</f>
        <v/>
      </c>
      <c r="W51" s="94" t="str">
        <f t="shared" si="10"/>
        <v/>
      </c>
      <c r="X51" s="95" t="str">
        <f>IF(W51="","",VLOOKUP(W51,'11. Lists'!$F$47:$G$51,2,FALSE))</f>
        <v/>
      </c>
      <c r="Y51" s="49"/>
      <c r="Z51" s="49"/>
      <c r="AA51" s="49"/>
      <c r="AB51" s="205" t="str">
        <f t="shared" si="9"/>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1:73" s="26" customFormat="1" ht="30" x14ac:dyDescent="0.25">
      <c r="B52" s="298">
        <v>14</v>
      </c>
      <c r="C52" s="443" t="s">
        <v>954</v>
      </c>
      <c r="D52" s="74"/>
      <c r="E52" s="107" t="str">
        <f>IF(D52="","",VLOOKUP(D52,'10. Condition and Temporal'!$B$6:$D$103,3,FALSE))</f>
        <v/>
      </c>
      <c r="F52" s="794"/>
      <c r="G52" s="795"/>
      <c r="H52" s="72"/>
      <c r="I52" s="657"/>
      <c r="J52" s="658"/>
      <c r="K52" s="658"/>
      <c r="L52" s="796" t="str">
        <f t="shared" si="8"/>
        <v/>
      </c>
      <c r="M52" s="797"/>
      <c r="N52" s="798"/>
      <c r="O52" s="75"/>
      <c r="P52" s="12"/>
      <c r="R52" s="664"/>
      <c r="T52" s="593" t="str">
        <f>IF(D52="","",VLOOKUP(D52,'9. All Habitats + Multipliers'!$C$4:$K$102,5,FALSE))</f>
        <v/>
      </c>
      <c r="U52" s="594"/>
      <c r="V52" s="393" t="str">
        <f>IF(T52="","",VLOOKUP(T52,'11. Lists'!$S$47:$U$50,2,FALSE))</f>
        <v/>
      </c>
      <c r="W52" s="94" t="str">
        <f t="shared" si="10"/>
        <v/>
      </c>
      <c r="X52" s="95" t="str">
        <f>IF(W52="","",VLOOKUP(W52,'11. Lists'!$F$47:$G$51,2,FALSE))</f>
        <v/>
      </c>
      <c r="Y52" s="49"/>
      <c r="Z52" s="49"/>
      <c r="AA52" s="49"/>
      <c r="AB52" s="205" t="str">
        <f t="shared" si="9"/>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1:73" s="26" customFormat="1" ht="30" x14ac:dyDescent="0.25">
      <c r="B53" s="298">
        <v>15</v>
      </c>
      <c r="C53" s="443" t="s">
        <v>954</v>
      </c>
      <c r="D53" s="74"/>
      <c r="E53" s="107" t="str">
        <f>IF(D53="","",VLOOKUP(D53,'10. Condition and Temporal'!$B$6:$D$103,3,FALSE))</f>
        <v/>
      </c>
      <c r="F53" s="794"/>
      <c r="G53" s="795"/>
      <c r="H53" s="72"/>
      <c r="I53" s="657"/>
      <c r="J53" s="658"/>
      <c r="K53" s="658"/>
      <c r="L53" s="796" t="str">
        <f t="shared" si="8"/>
        <v/>
      </c>
      <c r="M53" s="797"/>
      <c r="N53" s="798"/>
      <c r="O53" s="75"/>
      <c r="P53" s="12"/>
      <c r="R53" s="664"/>
      <c r="T53" s="593" t="str">
        <f>IF(D53="","",VLOOKUP(D53,'9. All Habitats + Multipliers'!$C$4:$K$102,5,FALSE))</f>
        <v/>
      </c>
      <c r="U53" s="594"/>
      <c r="V53" s="393" t="str">
        <f>IF(T53="","",VLOOKUP(T53,'11. Lists'!$S$47:$U$50,2,FALSE))</f>
        <v/>
      </c>
      <c r="W53" s="94" t="str">
        <f t="shared" si="10"/>
        <v/>
      </c>
      <c r="X53" s="95" t="str">
        <f>IF(W53="","",VLOOKUP(W53,'11. Lists'!$F$47:$G$51,2,FALSE))</f>
        <v/>
      </c>
      <c r="Y53" s="49"/>
      <c r="Z53" s="49"/>
      <c r="AA53" s="49"/>
      <c r="AB53" s="205" t="str">
        <f t="shared" si="9"/>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1:73" s="26" customFormat="1" ht="30" x14ac:dyDescent="0.25">
      <c r="B54" s="298">
        <v>16</v>
      </c>
      <c r="C54" s="443" t="s">
        <v>954</v>
      </c>
      <c r="D54" s="74"/>
      <c r="E54" s="107" t="str">
        <f>IF(D54="","",VLOOKUP(D54,'10. Condition and Temporal'!$B$6:$D$103,3,FALSE))</f>
        <v/>
      </c>
      <c r="F54" s="794"/>
      <c r="G54" s="795"/>
      <c r="H54" s="72"/>
      <c r="I54" s="657"/>
      <c r="J54" s="658"/>
      <c r="K54" s="658"/>
      <c r="L54" s="796" t="str">
        <f t="shared" si="8"/>
        <v/>
      </c>
      <c r="M54" s="797"/>
      <c r="N54" s="798"/>
      <c r="O54" s="75"/>
      <c r="P54" s="12"/>
      <c r="R54" s="664"/>
      <c r="T54" s="593" t="str">
        <f>IF(D54="","",VLOOKUP(D54,'9. All Habitats + Multipliers'!$C$4:$K$102,5,FALSE))</f>
        <v/>
      </c>
      <c r="U54" s="594"/>
      <c r="V54" s="393" t="str">
        <f>IF(T54="","",VLOOKUP(T54,'11. Lists'!$S$47:$U$50,2,FALSE))</f>
        <v/>
      </c>
      <c r="W54" s="94" t="str">
        <f t="shared" si="10"/>
        <v/>
      </c>
      <c r="X54" s="95" t="str">
        <f>IF(W54="","",VLOOKUP(W54,'11. Lists'!$F$47:$G$51,2,FALSE))</f>
        <v/>
      </c>
      <c r="Y54" s="49"/>
      <c r="Z54" s="49"/>
      <c r="AA54" s="49"/>
      <c r="AB54" s="205" t="str">
        <f t="shared" si="9"/>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1:73" s="26" customFormat="1" ht="30" x14ac:dyDescent="0.25">
      <c r="B55" s="298">
        <v>17</v>
      </c>
      <c r="C55" s="443" t="s">
        <v>954</v>
      </c>
      <c r="D55" s="74"/>
      <c r="E55" s="107" t="str">
        <f>IF(D55="","",VLOOKUP(D55,'10. Condition and Temporal'!$B$6:$D$103,3,FALSE))</f>
        <v/>
      </c>
      <c r="F55" s="794"/>
      <c r="G55" s="795"/>
      <c r="H55" s="72"/>
      <c r="I55" s="657"/>
      <c r="J55" s="658"/>
      <c r="K55" s="658"/>
      <c r="L55" s="796" t="str">
        <f t="shared" si="8"/>
        <v/>
      </c>
      <c r="M55" s="797"/>
      <c r="N55" s="798"/>
      <c r="O55" s="75"/>
      <c r="P55" s="12"/>
      <c r="R55" s="664"/>
      <c r="T55" s="593" t="str">
        <f>IF(D55="","",VLOOKUP(D55,'9. All Habitats + Multipliers'!$C$4:$K$102,5,FALSE))</f>
        <v/>
      </c>
      <c r="U55" s="594"/>
      <c r="V55" s="393" t="str">
        <f>IF(T55="","",VLOOKUP(T55,'11. Lists'!$S$47:$U$50,2,FALSE))</f>
        <v/>
      </c>
      <c r="W55" s="94" t="str">
        <f t="shared" si="10"/>
        <v/>
      </c>
      <c r="X55" s="95" t="str">
        <f>IF(W55="","",VLOOKUP(W55,'11. Lists'!$F$47:$G$51,2,FALSE))</f>
        <v/>
      </c>
      <c r="Y55" s="49"/>
      <c r="Z55" s="49"/>
      <c r="AA55" s="49"/>
      <c r="AB55" s="205" t="str">
        <f t="shared" si="9"/>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1:73" s="26" customFormat="1" ht="30" x14ac:dyDescent="0.25">
      <c r="B56" s="298">
        <v>18</v>
      </c>
      <c r="C56" s="443" t="s">
        <v>954</v>
      </c>
      <c r="D56" s="74"/>
      <c r="E56" s="107" t="str">
        <f>IF(D56="","",VLOOKUP(D56,'10. Condition and Temporal'!$B$6:$D$103,3,FALSE))</f>
        <v/>
      </c>
      <c r="F56" s="794"/>
      <c r="G56" s="795"/>
      <c r="H56" s="72"/>
      <c r="I56" s="657"/>
      <c r="J56" s="658"/>
      <c r="K56" s="658"/>
      <c r="L56" s="796" t="str">
        <f t="shared" si="8"/>
        <v/>
      </c>
      <c r="M56" s="797"/>
      <c r="N56" s="798"/>
      <c r="O56" s="75"/>
      <c r="P56" s="12"/>
      <c r="R56" s="664"/>
      <c r="T56" s="593" t="str">
        <f>IF(D56="","",VLOOKUP(D56,'9. All Habitats + Multipliers'!$C$4:$K$102,5,FALSE))</f>
        <v/>
      </c>
      <c r="U56" s="594"/>
      <c r="V56" s="393" t="str">
        <f>IF(T56="","",VLOOKUP(T56,'11. Lists'!$S$47:$U$50,2,FALSE))</f>
        <v/>
      </c>
      <c r="W56" s="94" t="str">
        <f t="shared" si="10"/>
        <v/>
      </c>
      <c r="X56" s="95" t="str">
        <f>IF(W56="","",VLOOKUP(W56,'11. Lists'!$F$47:$G$51,2,FALSE))</f>
        <v/>
      </c>
      <c r="Y56" s="49"/>
      <c r="Z56" s="49"/>
      <c r="AA56" s="49"/>
      <c r="AB56" s="205" t="str">
        <f t="shared" si="9"/>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1:73" s="26" customFormat="1" ht="30" x14ac:dyDescent="0.25">
      <c r="B57" s="298">
        <v>19</v>
      </c>
      <c r="C57" s="445" t="s">
        <v>954</v>
      </c>
      <c r="D57" s="74"/>
      <c r="E57" s="107" t="str">
        <f>IF(D57="","",VLOOKUP(D57,'10. Condition and Temporal'!$B$6:$D$103,3,FALSE))</f>
        <v/>
      </c>
      <c r="F57" s="794"/>
      <c r="G57" s="795"/>
      <c r="H57" s="72"/>
      <c r="I57" s="657"/>
      <c r="J57" s="658"/>
      <c r="K57" s="658"/>
      <c r="L57" s="796" t="str">
        <f t="shared" si="8"/>
        <v/>
      </c>
      <c r="M57" s="797"/>
      <c r="N57" s="798"/>
      <c r="O57" s="75"/>
      <c r="P57" s="12"/>
      <c r="R57" s="664"/>
      <c r="T57" s="593" t="str">
        <f>IF(D57="","",VLOOKUP(D57,'9. All Habitats + Multipliers'!$C$4:$K$102,5,FALSE))</f>
        <v/>
      </c>
      <c r="U57" s="594"/>
      <c r="V57" s="393" t="str">
        <f>IF(T57="","",VLOOKUP(T57,'11. Lists'!$S$47:$U$50,2,FALSE))</f>
        <v/>
      </c>
      <c r="W57" s="94" t="str">
        <f t="shared" si="10"/>
        <v/>
      </c>
      <c r="X57" s="95" t="str">
        <f>IF(W57="","",VLOOKUP(W57,'11. Lists'!$F$47:$G$51,2,FALSE))</f>
        <v/>
      </c>
      <c r="Y57" s="49"/>
      <c r="Z57" s="49"/>
      <c r="AA57" s="49"/>
      <c r="AB57" s="205" t="str">
        <f t="shared" si="9"/>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1:73" s="26" customFormat="1" ht="30.75" thickBot="1" x14ac:dyDescent="0.3">
      <c r="B58" s="299">
        <v>20</v>
      </c>
      <c r="C58" s="446" t="s">
        <v>954</v>
      </c>
      <c r="D58" s="138"/>
      <c r="E58" s="139" t="str">
        <f>IF(D58="","",VLOOKUP(D58,'10. Condition and Temporal'!$B$6:$D$103,3,FALSE))</f>
        <v/>
      </c>
      <c r="F58" s="787"/>
      <c r="G58" s="788"/>
      <c r="H58" s="80"/>
      <c r="I58" s="789"/>
      <c r="J58" s="790"/>
      <c r="K58" s="790"/>
      <c r="L58" s="791" t="str">
        <f t="shared" si="8"/>
        <v/>
      </c>
      <c r="M58" s="792"/>
      <c r="N58" s="793"/>
      <c r="O58" s="76"/>
      <c r="P58" s="14"/>
      <c r="R58" s="664"/>
      <c r="T58" s="593" t="str">
        <f>IF(D58="","",VLOOKUP(D58,'9. All Habitats + Multipliers'!$C$4:$K$102,5,FALSE))</f>
        <v/>
      </c>
      <c r="U58" s="594"/>
      <c r="V58" s="393" t="str">
        <f>IF(T58="","",VLOOKUP(T58,'11. Lists'!$S$47:$U$50,2,FALSE))</f>
        <v/>
      </c>
      <c r="W58" s="100" t="str">
        <f t="shared" si="10"/>
        <v/>
      </c>
      <c r="X58" s="101" t="str">
        <f>IF(W58="","",VLOOKUP(W58,'11. Lists'!$F$47:$G$51,2,FALSE))</f>
        <v/>
      </c>
      <c r="Y58" s="49"/>
      <c r="Z58" s="49"/>
      <c r="AA58" s="49"/>
      <c r="AB58" s="205" t="str">
        <f t="shared" si="9"/>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1:73" s="26" customFormat="1" ht="15.75" thickBot="1" x14ac:dyDescent="0.3">
      <c r="H59" s="303" t="s">
        <v>194</v>
      </c>
      <c r="I59" s="754">
        <f>SUM(I39:K58)</f>
        <v>0</v>
      </c>
      <c r="J59" s="755"/>
      <c r="K59" s="756"/>
      <c r="L59" s="799">
        <f>SUM(L39:N58)</f>
        <v>0</v>
      </c>
      <c r="M59" s="839"/>
      <c r="N59" s="800"/>
      <c r="R59" s="664"/>
    </row>
    <row r="60" spans="1:73" s="26" customFormat="1" ht="15.75" thickBot="1" x14ac:dyDescent="0.3">
      <c r="H60" s="306" t="s">
        <v>82</v>
      </c>
      <c r="I60" s="783" t="str">
        <f>IF(I59&lt;5000,"Lengths Acceptable 🗸",IF(I59&gt;=5000,"Length Exceeds Length Appropriate for Small Sites Metric ▲"))</f>
        <v>Lengths Acceptable 🗸</v>
      </c>
      <c r="J60" s="783"/>
      <c r="K60" s="783"/>
      <c r="L60" s="783"/>
      <c r="M60" s="783"/>
      <c r="N60" s="784"/>
      <c r="R60" s="664"/>
    </row>
    <row r="61" spans="1:73" s="26" customFormat="1" x14ac:dyDescent="0.25">
      <c r="R61" s="664"/>
      <c r="BA61" s="51" t="s">
        <v>100</v>
      </c>
    </row>
    <row r="62" spans="1:73" s="26" customFormat="1" ht="21" x14ac:dyDescent="0.35">
      <c r="B62" s="58" t="s">
        <v>101</v>
      </c>
      <c r="D62" s="89"/>
      <c r="H62" s="27"/>
      <c r="R62" s="664"/>
      <c r="BA62" s="51" t="s">
        <v>102</v>
      </c>
    </row>
    <row r="63" spans="1:73" s="26" customFormat="1" ht="15.75" thickBot="1" x14ac:dyDescent="0.3">
      <c r="A63" s="813"/>
      <c r="R63" s="664"/>
    </row>
    <row r="64" spans="1:73" s="26" customFormat="1" ht="16.149999999999999" customHeight="1" thickBot="1" x14ac:dyDescent="0.3">
      <c r="A64" s="813"/>
      <c r="B64" s="607" t="s">
        <v>103</v>
      </c>
      <c r="C64" s="603" t="s">
        <v>966</v>
      </c>
      <c r="D64" s="605"/>
      <c r="E64" s="674" t="s">
        <v>104</v>
      </c>
      <c r="F64" s="679"/>
      <c r="G64" s="687"/>
      <c r="H64" s="748" t="s">
        <v>105</v>
      </c>
      <c r="I64" s="748" t="s">
        <v>998</v>
      </c>
      <c r="J64" s="750" t="s">
        <v>107</v>
      </c>
      <c r="K64" s="751"/>
      <c r="L64" s="698" t="s">
        <v>957</v>
      </c>
      <c r="M64" s="604" t="s">
        <v>108</v>
      </c>
      <c r="N64" s="605"/>
      <c r="O64" s="746" t="s">
        <v>54</v>
      </c>
      <c r="P64" s="747"/>
      <c r="R64" s="664"/>
      <c r="T64" s="590" t="s">
        <v>109</v>
      </c>
      <c r="U64" s="591"/>
      <c r="V64" s="591"/>
      <c r="W64" s="591"/>
      <c r="X64" s="591"/>
      <c r="Y64" s="591"/>
      <c r="Z64" s="591"/>
      <c r="AA64" s="591"/>
      <c r="AB64" s="591"/>
      <c r="AC64" s="591"/>
      <c r="AD64" s="592"/>
      <c r="AE64" s="748" t="s">
        <v>110</v>
      </c>
      <c r="AF64" s="590" t="s">
        <v>111</v>
      </c>
      <c r="AG64" s="591"/>
      <c r="AH64" s="591"/>
      <c r="AI64" s="591"/>
      <c r="AJ64" s="838"/>
      <c r="AK64" s="838"/>
      <c r="AL64" s="838"/>
      <c r="AM64" s="838"/>
      <c r="AN64" s="838"/>
      <c r="AO64" s="591"/>
      <c r="AP64" s="592"/>
      <c r="AQ64" s="599" t="s">
        <v>123</v>
      </c>
      <c r="AR64" s="590" t="s">
        <v>111</v>
      </c>
      <c r="AS64" s="591"/>
      <c r="AT64" s="591"/>
      <c r="AU64" s="591"/>
      <c r="AV64" s="591"/>
      <c r="AW64" s="591"/>
      <c r="AX64" s="592"/>
      <c r="BA64" s="160" t="s">
        <v>112</v>
      </c>
      <c r="BB64" s="206">
        <f>COUNTIF(BB66:BB85,"?*")</f>
        <v>0</v>
      </c>
      <c r="BC64" s="206">
        <f t="shared" ref="BC64:BU64" si="11">COUNTIF(BC66:BC85,"?*")</f>
        <v>0</v>
      </c>
      <c r="BD64" s="206">
        <f t="shared" si="11"/>
        <v>0</v>
      </c>
      <c r="BE64" s="206">
        <f t="shared" si="11"/>
        <v>0</v>
      </c>
      <c r="BF64" s="206">
        <f t="shared" si="11"/>
        <v>0</v>
      </c>
      <c r="BG64" s="206">
        <f t="shared" si="11"/>
        <v>0</v>
      </c>
      <c r="BH64" s="206">
        <f t="shared" si="11"/>
        <v>0</v>
      </c>
      <c r="BI64" s="206">
        <f t="shared" si="11"/>
        <v>0</v>
      </c>
      <c r="BJ64" s="206">
        <f t="shared" si="11"/>
        <v>0</v>
      </c>
      <c r="BK64" s="206">
        <f t="shared" si="11"/>
        <v>0</v>
      </c>
      <c r="BL64" s="206">
        <f t="shared" si="11"/>
        <v>0</v>
      </c>
      <c r="BM64" s="206">
        <f t="shared" si="11"/>
        <v>0</v>
      </c>
      <c r="BN64" s="206">
        <f t="shared" si="11"/>
        <v>0</v>
      </c>
      <c r="BO64" s="206">
        <f t="shared" si="11"/>
        <v>0</v>
      </c>
      <c r="BP64" s="206">
        <f t="shared" si="11"/>
        <v>0</v>
      </c>
      <c r="BQ64" s="206">
        <f t="shared" si="11"/>
        <v>0</v>
      </c>
      <c r="BR64" s="206">
        <f t="shared" si="11"/>
        <v>0</v>
      </c>
      <c r="BS64" s="206">
        <f t="shared" si="11"/>
        <v>0</v>
      </c>
      <c r="BT64" s="206">
        <f t="shared" si="11"/>
        <v>0</v>
      </c>
      <c r="BU64" s="206">
        <f t="shared" si="11"/>
        <v>0</v>
      </c>
    </row>
    <row r="65" spans="1:76" s="26" customFormat="1" ht="41.45" customHeight="1" thickBot="1" x14ac:dyDescent="0.3">
      <c r="A65" s="813"/>
      <c r="B65" s="608"/>
      <c r="C65" s="232" t="s">
        <v>113</v>
      </c>
      <c r="D65" s="91" t="s">
        <v>114</v>
      </c>
      <c r="E65" s="87" t="s">
        <v>115</v>
      </c>
      <c r="F65" s="619" t="s">
        <v>116</v>
      </c>
      <c r="G65" s="644"/>
      <c r="H65" s="749"/>
      <c r="I65" s="749"/>
      <c r="J65" s="752"/>
      <c r="K65" s="753"/>
      <c r="L65" s="801"/>
      <c r="M65" s="781"/>
      <c r="N65" s="782"/>
      <c r="O65" s="217" t="s">
        <v>69</v>
      </c>
      <c r="P65" s="91" t="s">
        <v>70</v>
      </c>
      <c r="R65" s="664"/>
      <c r="T65" s="380" t="s">
        <v>916</v>
      </c>
      <c r="U65" s="401" t="s">
        <v>117</v>
      </c>
      <c r="V65" s="400" t="s">
        <v>118</v>
      </c>
      <c r="W65" s="401" t="s">
        <v>119</v>
      </c>
      <c r="X65" s="404" t="s">
        <v>120</v>
      </c>
      <c r="Y65" s="405"/>
      <c r="Z65" s="405"/>
      <c r="AA65" s="405"/>
      <c r="AB65" s="404" t="s">
        <v>121</v>
      </c>
      <c r="AC65" s="403" t="s">
        <v>122</v>
      </c>
      <c r="AD65" s="400" t="s">
        <v>917</v>
      </c>
      <c r="AE65" s="749"/>
      <c r="AF65" s="381" t="s">
        <v>916</v>
      </c>
      <c r="AG65" s="401" t="s">
        <v>71</v>
      </c>
      <c r="AH65" s="400" t="s">
        <v>72</v>
      </c>
      <c r="AI65" s="381" t="s">
        <v>73</v>
      </c>
      <c r="AJ65" s="407" t="s">
        <v>72</v>
      </c>
      <c r="AK65" s="416"/>
      <c r="AL65" s="416"/>
      <c r="AM65" s="416"/>
      <c r="AN65" s="408" t="s">
        <v>57</v>
      </c>
      <c r="AO65" s="402" t="s">
        <v>57</v>
      </c>
      <c r="AP65" s="400" t="s">
        <v>74</v>
      </c>
      <c r="AQ65" s="837"/>
      <c r="AR65" s="400" t="s">
        <v>124</v>
      </c>
      <c r="AS65" s="401" t="s">
        <v>125</v>
      </c>
      <c r="AT65" s="400" t="s">
        <v>126</v>
      </c>
      <c r="AU65" s="402" t="s">
        <v>127</v>
      </c>
      <c r="AV65" s="400" t="s">
        <v>128</v>
      </c>
      <c r="AW65" s="202" t="s">
        <v>129</v>
      </c>
      <c r="AX65" s="203" t="s">
        <v>130</v>
      </c>
      <c r="BA65" s="84" t="s">
        <v>131</v>
      </c>
      <c r="BB65" s="181">
        <v>1</v>
      </c>
      <c r="BC65" s="181">
        <v>2</v>
      </c>
      <c r="BD65" s="181">
        <v>3</v>
      </c>
      <c r="BE65" s="181">
        <v>4</v>
      </c>
      <c r="BF65" s="181">
        <v>5</v>
      </c>
      <c r="BG65" s="181">
        <v>6</v>
      </c>
      <c r="BH65" s="181">
        <v>7</v>
      </c>
      <c r="BI65" s="181">
        <v>8</v>
      </c>
      <c r="BJ65" s="181">
        <v>9</v>
      </c>
      <c r="BK65" s="181">
        <v>10</v>
      </c>
      <c r="BL65" s="181">
        <v>11</v>
      </c>
      <c r="BM65" s="181">
        <v>12</v>
      </c>
      <c r="BN65" s="181">
        <v>13</v>
      </c>
      <c r="BO65" s="181">
        <v>14</v>
      </c>
      <c r="BP65" s="181">
        <v>15</v>
      </c>
      <c r="BQ65" s="181">
        <v>16</v>
      </c>
      <c r="BR65" s="181">
        <v>17</v>
      </c>
      <c r="BS65" s="181">
        <v>18</v>
      </c>
      <c r="BT65" s="181">
        <v>19</v>
      </c>
      <c r="BU65" s="181">
        <v>20</v>
      </c>
      <c r="BV65" s="204" t="s">
        <v>132</v>
      </c>
      <c r="BW65" s="181" t="s">
        <v>133</v>
      </c>
      <c r="BX65" s="181" t="s">
        <v>134</v>
      </c>
    </row>
    <row r="66" spans="1:76" s="26" customFormat="1" ht="15.75" x14ac:dyDescent="0.25">
      <c r="B66" s="304">
        <v>1</v>
      </c>
      <c r="C66" s="488" t="str">
        <f t="shared" ref="C66:C85" si="12">IF(D66="","",C11)</f>
        <v/>
      </c>
      <c r="D66" s="489" t="str">
        <f>IF(OR(K11="", K11=0),"",D11)</f>
        <v/>
      </c>
      <c r="E66" s="490" t="str">
        <f t="shared" ref="E66:E85" si="13">IF(AX66="","",AX66)</f>
        <v/>
      </c>
      <c r="F66" s="785"/>
      <c r="G66" s="786"/>
      <c r="H66" s="491" t="str">
        <f t="shared" ref="H66:H85" si="14">IF(D66="","",AB66)</f>
        <v/>
      </c>
      <c r="I66" s="492" t="str">
        <f>IF(OR(K11="", K11=0),"",K11)</f>
        <v/>
      </c>
      <c r="J66" s="814" t="str">
        <f>IFERROR(IF(F66="","",VLOOKUP(F66,'10. Condition and Temporal'!$B$6:$F$103,5,FALSE)), "Error ▲")</f>
        <v/>
      </c>
      <c r="K66" s="815"/>
      <c r="L66" s="341" t="str">
        <f>IFERROR(IF(D66="","",IF(AX66="Distinctiveness",(((((I66*AH66*AJ66)-(I66*V66*X66))*(AV66*AT66))+(I66*V66*X66))*AP66/1000),((((I66*AH66*AJ66)-(I66*V66*X66))*(AV66*AR66))+(I66*V66*X66))*AP66/1000)),"This intervention is not permitted within the SSM ▲")</f>
        <v/>
      </c>
      <c r="M66" s="802" t="str">
        <f>IFERROR(IF(F66="","",L66-AD66), "Error ▲")</f>
        <v/>
      </c>
      <c r="N66" s="803"/>
      <c r="O66" s="246"/>
      <c r="P66" s="147"/>
      <c r="R66" s="664"/>
      <c r="T66" s="196" t="str">
        <f t="shared" ref="T66:T85" si="15">IF(D66="","",K11)</f>
        <v/>
      </c>
      <c r="U66" s="117" t="str">
        <f>IF($D66="","",T11)</f>
        <v/>
      </c>
      <c r="V66" s="118" t="str">
        <f t="shared" ref="V66:X85" si="16">IF($D66="","",V11)</f>
        <v/>
      </c>
      <c r="W66" s="117" t="str">
        <f t="shared" si="16"/>
        <v/>
      </c>
      <c r="X66" s="96" t="str">
        <f t="shared" si="16"/>
        <v/>
      </c>
      <c r="Y66" s="392"/>
      <c r="Z66" s="392"/>
      <c r="AA66" s="392"/>
      <c r="AB66" s="96" t="str">
        <f t="shared" ref="AB66:AB85" si="17">IF($D66="","",AB11)</f>
        <v/>
      </c>
      <c r="AC66" s="119" t="str">
        <f t="shared" ref="AC66:AC85" si="18">IF($D66="","",AD11)</f>
        <v/>
      </c>
      <c r="AD66" s="118" t="str">
        <f>IF(AC66="","",(T66*V66*X66)*AC66/1000)</f>
        <v/>
      </c>
      <c r="AE66" s="198" t="str">
        <f>IF(AD66="","",IF(AH66&lt;V66,"Not Acceptable","Acceptable"))</f>
        <v/>
      </c>
      <c r="AF66" s="116" t="str">
        <f t="shared" ref="AF66:AF85" si="19">IF(D66="","",I66)</f>
        <v/>
      </c>
      <c r="AG66" s="117" t="str">
        <f>IF(D66="","",VLOOKUP(F66,'9. All Habitats + Multipliers'!$C$4:$K$102,5,FALSE))</f>
        <v/>
      </c>
      <c r="AH66" s="118" t="str">
        <f>IF(AG66="","",VLOOKUP(AG66,'11. Lists'!$S$47:$U$50,2,FALSE))</f>
        <v/>
      </c>
      <c r="AI66" s="116" t="str">
        <f t="shared" ref="AI66:AI85" si="20">IF(D66="","",J66)</f>
        <v/>
      </c>
      <c r="AJ66" s="94" t="str">
        <f>IF(AI66="","",VLOOKUP(AI66,'11. Lists'!$F$47:$G$51,2,FALSE))</f>
        <v/>
      </c>
      <c r="AK66" s="392"/>
      <c r="AL66" s="392"/>
      <c r="AM66" s="392"/>
      <c r="AN66" s="95" t="str">
        <f t="shared" ref="AN66:AN85" si="21">IF(H66="","",H66)</f>
        <v/>
      </c>
      <c r="AO66" s="120" t="str">
        <f>IF(AN66="","",VLOOKUP(AN66,'11. Lists'!$F$36:$H$38,2,FALSE))</f>
        <v/>
      </c>
      <c r="AP66" s="118" t="str">
        <f>IF(AN66="","",VLOOKUP(AN66,'11. Lists'!$F$36:$H$38,3,FALSE))</f>
        <v/>
      </c>
      <c r="AQ66" s="117" t="str">
        <f>IF(D66="","",VLOOKUP(F66,'10. Condition and Temporal'!$B$6:$L$103,11,FALSE))</f>
        <v/>
      </c>
      <c r="AR66" s="121" t="str">
        <f>IF(AQ66="","",VLOOKUP(AQ66,'11. Lists'!$I$47:$K$80,3,FALSE))</f>
        <v/>
      </c>
      <c r="AS66" s="137" t="str">
        <f>IF(D66="","",VLOOKUP(F66,'10. Condition and Temporal'!$B$6:$M$106,12,FALSE))</f>
        <v/>
      </c>
      <c r="AT66" s="121" t="str">
        <f>IF(AS66="","",VLOOKUP(AS66,'11. Lists'!$I$47:$K$80,3,FALSE))</f>
        <v/>
      </c>
      <c r="AU66" s="120" t="str">
        <f>IF(D66="","",VLOOKUP(F66,'9. All Habitats + Multipliers'!$C$4:$K$102,8,FALSE))</f>
        <v/>
      </c>
      <c r="AV66" s="118" t="str">
        <f>IF(AU66="","",VLOOKUP(AU66,'11. Lists'!$J$35:$K$38,2,FALSE))</f>
        <v/>
      </c>
      <c r="AW66" s="117" t="str">
        <f>IF(D66="","",VLOOKUP(D66,'10. Condition and Temporal'!$B$6:$M$103,4,FALSE))</f>
        <v/>
      </c>
      <c r="AX66" s="118" t="str">
        <f t="shared" ref="AX66:AX85" si="22">IF(F66="","",IF(D66=F66,"Condition","Distinctiveness"))</f>
        <v/>
      </c>
      <c r="AZ66" s="227"/>
      <c r="BA66" s="94">
        <v>1</v>
      </c>
      <c r="BB66" s="96" t="str">
        <f t="shared" ref="BB66:BB85" si="23">TRIM(MID(SUBSTITUTE($AW$66,$BA$62,REPT(" ",LEN($AW$66))),($BA66-1)*LEN($AW$66)+1,LEN($AW$66)))</f>
        <v/>
      </c>
      <c r="BC66" s="96" t="str">
        <f t="shared" ref="BC66:BC85" si="24">TRIM(MID(SUBSTITUTE($AW$67,$BA$62,REPT(" ",LEN($AW$67))),($BA66-1)*LEN($AW$67)+1,LEN($AW$67)))</f>
        <v/>
      </c>
      <c r="BD66" s="96" t="str">
        <f t="shared" ref="BD66:BD85" si="25">TRIM(MID(SUBSTITUTE($AW$68,$BA$62,REPT(" ",LEN($AW$68))),($BA66-1)*LEN($AW$68)+1,LEN($AW$68)))</f>
        <v/>
      </c>
      <c r="BE66" s="96" t="str">
        <f t="shared" ref="BE66:BE85" si="26">TRIM(MID(SUBSTITUTE($AW$69,$BA$62,REPT(" ",LEN($AW$69))),($BA66-1)*LEN($AW$69)+1,LEN($AW$69)))</f>
        <v/>
      </c>
      <c r="BF66" s="96" t="str">
        <f t="shared" ref="BF66:BF85" si="27">TRIM(MID(SUBSTITUTE($AW$70,$BA$62,REPT(" ",LEN($AW$70))),($BA66-1)*LEN($AW$70)+1,LEN($AW$70)))</f>
        <v/>
      </c>
      <c r="BG66" s="96" t="str">
        <f t="shared" ref="BG66:BG85" si="28">TRIM(MID(SUBSTITUTE($AW$71,$BA$62,REPT(" ",LEN($AW$71))),($BA66-1)*LEN($AW$71)+1,LEN($AW$71)))</f>
        <v/>
      </c>
      <c r="BH66" s="96" t="str">
        <f t="shared" ref="BH66:BH85" si="29">TRIM(MID(SUBSTITUTE($AW$72,$BA$62,REPT(" ",LEN($AW$72))),($BA66-1)*LEN($AW$72)+1,LEN($AW$72)))</f>
        <v/>
      </c>
      <c r="BI66" s="96" t="str">
        <f t="shared" ref="BI66:BI85" si="30">TRIM(MID(SUBSTITUTE($AW$73,$BA$62,REPT(" ",LEN($AW$73))),($BA66-1)*LEN($AW$73)+1,LEN($AW$73)))</f>
        <v/>
      </c>
      <c r="BJ66" s="96" t="str">
        <f t="shared" ref="BJ66:BJ85" si="31">TRIM(MID(SUBSTITUTE($AW$74,$BA$62,REPT(" ",LEN($AW$74))),($BA66-1)*LEN($AW$74)+1,LEN($AW$74)))</f>
        <v/>
      </c>
      <c r="BK66" s="96" t="str">
        <f t="shared" ref="BK66:BK85" si="32">TRIM(MID(SUBSTITUTE($AW$75,$BA$62,REPT(" ",LEN($AW$75))),($BA66-1)*LEN($AW$75)+1,LEN($AW$75)))</f>
        <v/>
      </c>
      <c r="BL66" s="96" t="str">
        <f t="shared" ref="BL66:BL85" si="33">TRIM(MID(SUBSTITUTE($AW$76,$BA$62,REPT(" ",LEN($AW$76))),($BA66-1)*LEN($AW$76)+1,LEN($AW$76)))</f>
        <v/>
      </c>
      <c r="BM66" s="96" t="str">
        <f t="shared" ref="BM66:BM85" si="34">TRIM(MID(SUBSTITUTE($AW$77,$BA$62,REPT(" ",LEN($AW$77))),($BA66-1)*LEN($AW$77)+1,LEN($AW$77)))</f>
        <v/>
      </c>
      <c r="BN66" s="96" t="str">
        <f t="shared" ref="BN66:BN85" si="35">TRIM(MID(SUBSTITUTE($AW$78,$BA$62,REPT(" ",LEN($AW$78))),($BA66-1)*LEN($AW$78)+1,LEN($AW$78)))</f>
        <v/>
      </c>
      <c r="BO66" s="96" t="str">
        <f t="shared" ref="BO66:BO85" si="36">TRIM(MID(SUBSTITUTE($AW$79,$BA$62,REPT(" ",LEN($AW$79))),($BA66-1)*LEN($AW$79)+1,LEN($AW$79)))</f>
        <v/>
      </c>
      <c r="BP66" s="96" t="str">
        <f t="shared" ref="BP66:BP85" si="37">TRIM(MID(SUBSTITUTE($AW$80,$BA$62,REPT(" ",LEN($AW$80))),($BA66-1)*LEN($AW$80)+1,LEN($AW$80)))</f>
        <v/>
      </c>
      <c r="BQ66" s="96" t="str">
        <f t="shared" ref="BQ66:BQ85" si="38">TRIM(MID(SUBSTITUTE($AW$81,$BA$62,REPT(" ",LEN($AW$81))),($BA66-1)*LEN($AW$81)+1,LEN($AW$81)))</f>
        <v/>
      </c>
      <c r="BR66" s="96" t="str">
        <f t="shared" ref="BR66:BR85" si="39">TRIM(MID(SUBSTITUTE($AW$82,$BA$62,REPT(" ",LEN($AW$82))),($BA66-1)*LEN($AW$82)+1,LEN($AW$82)))</f>
        <v/>
      </c>
      <c r="BS66" s="96" t="str">
        <f t="shared" ref="BS66:BS85" si="40">TRIM(MID(SUBSTITUTE($AW$83,$BA$62,REPT(" ",LEN($AW$83))),($BA66-1)*LEN($AW$83)+1,LEN($AW$83)))</f>
        <v/>
      </c>
      <c r="BT66" s="96" t="str">
        <f t="shared" ref="BT66:BT85" si="41">TRIM(MID(SUBSTITUTE($AW$84,$BA$62,REPT(" ",LEN($AW$84))),($BA66-1)*LEN($AW$84)+1,LEN($AW$84)))</f>
        <v/>
      </c>
      <c r="BU66" s="95" t="str">
        <f t="shared" ref="BU66:BU85" si="42">TRIM(MID(SUBSTITUTE($AW$85,$BA$62,REPT(" ",LEN($AW$85))),($BA66-1)*LEN($AW$85)+1,LEN($AW$85)))</f>
        <v/>
      </c>
      <c r="BV66" s="205" t="str">
        <f>IF(BX66=0,"",CONCATENATE(BW66,"66:",BW66,BX66+65))</f>
        <v/>
      </c>
      <c r="BW66" s="96" t="s">
        <v>135</v>
      </c>
      <c r="BX66" s="96">
        <f>BB64</f>
        <v>0</v>
      </c>
    </row>
    <row r="67" spans="1:76" s="26" customFormat="1" ht="15.75" x14ac:dyDescent="0.25">
      <c r="B67" s="298">
        <v>2</v>
      </c>
      <c r="C67" s="122" t="str">
        <f t="shared" si="12"/>
        <v/>
      </c>
      <c r="D67" s="229" t="str">
        <f t="shared" ref="D67:D85" si="43">IF(OR(K12="", K12=0),"",D12)</f>
        <v/>
      </c>
      <c r="E67" s="176" t="str">
        <f t="shared" si="13"/>
        <v/>
      </c>
      <c r="F67" s="632"/>
      <c r="G67" s="633"/>
      <c r="H67" s="172" t="str">
        <f t="shared" si="14"/>
        <v/>
      </c>
      <c r="I67" s="366" t="str">
        <f t="shared" ref="I67:I85" si="44">IF(OR(K12="", K12=0),"",K12)</f>
        <v/>
      </c>
      <c r="J67" s="806" t="str">
        <f>IFERROR(IF(F67="","",VLOOKUP(F67,'10. Condition and Temporal'!$B$6:$F$103,5,FALSE)), "Error ▲")</f>
        <v/>
      </c>
      <c r="K67" s="807"/>
      <c r="L67" s="317" t="str">
        <f t="shared" ref="L67:L85" si="45">IFERROR(IF(D67="","",IF(AX67="Distinctiveness",(((((I67*AH67*AJ67)-(I67*V67*X67))*(AV67*AT67))+(I67*V67*X67))*AP67/1000),((((I67*AH67*AJ67)-(I67*V67*X67))*(AV67*AR67))+(I67*V67*X67))*AP67/1000)),"This intervention is not permitted within the SSM ▲")</f>
        <v/>
      </c>
      <c r="M67" s="650" t="str">
        <f t="shared" ref="M67:M85" si="46">IFERROR(IF(F67="","",L67-AD67), "Error ▲")</f>
        <v/>
      </c>
      <c r="N67" s="804"/>
      <c r="O67" s="75"/>
      <c r="P67" s="12"/>
      <c r="R67" s="664"/>
      <c r="T67" s="196" t="str">
        <f t="shared" si="15"/>
        <v/>
      </c>
      <c r="U67" s="117" t="str">
        <f t="shared" ref="U67:U85" si="47">IF($D67="","",T12)</f>
        <v/>
      </c>
      <c r="V67" s="118" t="str">
        <f t="shared" si="16"/>
        <v/>
      </c>
      <c r="W67" s="117" t="str">
        <f t="shared" si="16"/>
        <v/>
      </c>
      <c r="X67" s="96" t="str">
        <f t="shared" si="16"/>
        <v/>
      </c>
      <c r="Y67" s="392"/>
      <c r="Z67" s="392"/>
      <c r="AA67" s="392"/>
      <c r="AB67" s="96" t="str">
        <f t="shared" si="17"/>
        <v/>
      </c>
      <c r="AC67" s="119" t="str">
        <f t="shared" si="18"/>
        <v/>
      </c>
      <c r="AD67" s="118" t="str">
        <f>IF(AC67="","",(T67*V67*X67)*AC67/1000)</f>
        <v/>
      </c>
      <c r="AE67" s="198" t="str">
        <f t="shared" ref="AE67:AE85" si="48">IF(AD67="","",IF(AH67&lt;V67,"Not Acceptable","Acceptable"))</f>
        <v/>
      </c>
      <c r="AF67" s="116" t="str">
        <f t="shared" si="19"/>
        <v/>
      </c>
      <c r="AG67" s="117" t="str">
        <f>IF(D67="","",VLOOKUP(F67,'9. All Habitats + Multipliers'!$C$4:$K$102,5,FALSE))</f>
        <v/>
      </c>
      <c r="AH67" s="118" t="str">
        <f>IF(AG67="","",VLOOKUP(AG67,'11. Lists'!$S$47:$U$50,2,FALSE))</f>
        <v/>
      </c>
      <c r="AI67" s="116" t="str">
        <f t="shared" si="20"/>
        <v/>
      </c>
      <c r="AJ67" s="94" t="str">
        <f>IF(AI67="","",VLOOKUP(AI67,'11. Lists'!$F$47:$G$51,2,FALSE))</f>
        <v/>
      </c>
      <c r="AK67" s="392"/>
      <c r="AL67" s="392"/>
      <c r="AM67" s="392"/>
      <c r="AN67" s="95" t="str">
        <f t="shared" si="21"/>
        <v/>
      </c>
      <c r="AO67" s="120" t="str">
        <f>IF(AN67="","",VLOOKUP(AN67,'11. Lists'!$F$36:$H$38,2,FALSE))</f>
        <v/>
      </c>
      <c r="AP67" s="118" t="str">
        <f>IF(AN67="","",VLOOKUP(AN67,'11. Lists'!$F$36:$H$38,3,FALSE))</f>
        <v/>
      </c>
      <c r="AQ67" s="117" t="str">
        <f>IF(D67="","",VLOOKUP(F67,'10. Condition and Temporal'!$B$6:$L$103,11,FALSE))</f>
        <v/>
      </c>
      <c r="AR67" s="121" t="str">
        <f>IF(AQ67="","",VLOOKUP(AQ67,'11. Lists'!$I$47:$K$80,3,FALSE))</f>
        <v/>
      </c>
      <c r="AS67" s="137" t="str">
        <f>IF(D67="","",VLOOKUP(F67,'10. Condition and Temporal'!$B$6:$M$106,12,FALSE))</f>
        <v/>
      </c>
      <c r="AT67" s="121" t="str">
        <f>IF(AS67="","",VLOOKUP(AS67,'11. Lists'!$I$47:$K$80,3,FALSE))</f>
        <v/>
      </c>
      <c r="AU67" s="120" t="str">
        <f>IF(D67="","",VLOOKUP(F67,'9. All Habitats + Multipliers'!$C$4:$K$102,8,FALSE))</f>
        <v/>
      </c>
      <c r="AV67" s="118" t="str">
        <f>IF(AU67="","",VLOOKUP(AU67,'11. Lists'!$J$35:$K$38,2,FALSE))</f>
        <v/>
      </c>
      <c r="AW67" s="117" t="str">
        <f>IF(D67="","",VLOOKUP(D67,'10. Condition and Temporal'!$B$6:$M$103,4,FALSE))</f>
        <v/>
      </c>
      <c r="AX67" s="118" t="str">
        <f t="shared" si="22"/>
        <v/>
      </c>
      <c r="AZ67" s="227"/>
      <c r="BA67" s="94">
        <v>2</v>
      </c>
      <c r="BB67" s="96" t="str">
        <f t="shared" si="23"/>
        <v/>
      </c>
      <c r="BC67" s="96" t="str">
        <f t="shared" si="24"/>
        <v/>
      </c>
      <c r="BD67" s="96" t="str">
        <f t="shared" si="25"/>
        <v/>
      </c>
      <c r="BE67" s="96" t="str">
        <f t="shared" si="26"/>
        <v/>
      </c>
      <c r="BF67" s="96" t="str">
        <f t="shared" si="27"/>
        <v/>
      </c>
      <c r="BG67" s="96" t="str">
        <f t="shared" si="28"/>
        <v/>
      </c>
      <c r="BH67" s="96" t="str">
        <f t="shared" si="29"/>
        <v/>
      </c>
      <c r="BI67" s="96" t="str">
        <f t="shared" si="30"/>
        <v/>
      </c>
      <c r="BJ67" s="96" t="str">
        <f t="shared" si="31"/>
        <v/>
      </c>
      <c r="BK67" s="96" t="str">
        <f t="shared" si="32"/>
        <v/>
      </c>
      <c r="BL67" s="96" t="str">
        <f t="shared" si="33"/>
        <v/>
      </c>
      <c r="BM67" s="96" t="str">
        <f t="shared" si="34"/>
        <v/>
      </c>
      <c r="BN67" s="96" t="str">
        <f t="shared" si="35"/>
        <v/>
      </c>
      <c r="BO67" s="96" t="str">
        <f t="shared" si="36"/>
        <v/>
      </c>
      <c r="BP67" s="96" t="str">
        <f t="shared" si="37"/>
        <v/>
      </c>
      <c r="BQ67" s="96" t="str">
        <f t="shared" si="38"/>
        <v/>
      </c>
      <c r="BR67" s="96" t="str">
        <f t="shared" si="39"/>
        <v/>
      </c>
      <c r="BS67" s="96" t="str">
        <f t="shared" si="40"/>
        <v/>
      </c>
      <c r="BT67" s="96" t="str">
        <f t="shared" si="41"/>
        <v/>
      </c>
      <c r="BU67" s="95" t="str">
        <f t="shared" si="42"/>
        <v/>
      </c>
      <c r="BV67" s="205" t="str">
        <f t="shared" ref="BV67:BV85" si="49">IF(BX67=0,"",CONCATENATE(BW67,"66:",BW67,BX67+65))</f>
        <v/>
      </c>
      <c r="BW67" s="96" t="s">
        <v>136</v>
      </c>
      <c r="BX67" s="96">
        <f>BC64</f>
        <v>0</v>
      </c>
    </row>
    <row r="68" spans="1:76" s="26" customFormat="1" ht="15.75" x14ac:dyDescent="0.25">
      <c r="B68" s="298">
        <v>3</v>
      </c>
      <c r="C68" s="122" t="str">
        <f t="shared" si="12"/>
        <v/>
      </c>
      <c r="D68" s="229" t="str">
        <f t="shared" si="43"/>
        <v/>
      </c>
      <c r="E68" s="176" t="str">
        <f t="shared" si="13"/>
        <v/>
      </c>
      <c r="F68" s="632"/>
      <c r="G68" s="633"/>
      <c r="H68" s="172" t="str">
        <f t="shared" si="14"/>
        <v/>
      </c>
      <c r="I68" s="366" t="str">
        <f t="shared" si="44"/>
        <v/>
      </c>
      <c r="J68" s="806" t="str">
        <f>IFERROR(IF(F68="","",VLOOKUP(F68,'10. Condition and Temporal'!$B$6:$F$103,5,FALSE)), "Error ▲")</f>
        <v/>
      </c>
      <c r="K68" s="807"/>
      <c r="L68" s="317" t="str">
        <f t="shared" si="45"/>
        <v/>
      </c>
      <c r="M68" s="650" t="str">
        <f t="shared" si="46"/>
        <v/>
      </c>
      <c r="N68" s="804"/>
      <c r="O68" s="75"/>
      <c r="P68" s="12"/>
      <c r="R68" s="664"/>
      <c r="T68" s="196" t="str">
        <f t="shared" si="15"/>
        <v/>
      </c>
      <c r="U68" s="117" t="str">
        <f t="shared" si="47"/>
        <v/>
      </c>
      <c r="V68" s="118" t="str">
        <f t="shared" si="16"/>
        <v/>
      </c>
      <c r="W68" s="117" t="str">
        <f t="shared" si="16"/>
        <v/>
      </c>
      <c r="X68" s="96" t="str">
        <f t="shared" si="16"/>
        <v/>
      </c>
      <c r="Y68" s="392"/>
      <c r="Z68" s="392"/>
      <c r="AA68" s="392"/>
      <c r="AB68" s="96" t="str">
        <f t="shared" si="17"/>
        <v/>
      </c>
      <c r="AC68" s="119" t="str">
        <f t="shared" si="18"/>
        <v/>
      </c>
      <c r="AD68" s="118" t="str">
        <f t="shared" ref="AD68:AD85" si="50">IF(AC68="","",(T68*V68*X68)*AC68/1000)</f>
        <v/>
      </c>
      <c r="AE68" s="198" t="str">
        <f t="shared" si="48"/>
        <v/>
      </c>
      <c r="AF68" s="116" t="str">
        <f t="shared" si="19"/>
        <v/>
      </c>
      <c r="AG68" s="117" t="str">
        <f>IF(D68="","",VLOOKUP(F68,'9. All Habitats + Multipliers'!$C$4:$K$102,5,FALSE))</f>
        <v/>
      </c>
      <c r="AH68" s="118" t="str">
        <f>IF(AG68="","",VLOOKUP(AG68,'11. Lists'!$S$47:$U$50,2,FALSE))</f>
        <v/>
      </c>
      <c r="AI68" s="116" t="str">
        <f t="shared" si="20"/>
        <v/>
      </c>
      <c r="AJ68" s="94" t="str">
        <f>IF(AI68="","",VLOOKUP(AI68,'11. Lists'!$F$47:$G$51,2,FALSE))</f>
        <v/>
      </c>
      <c r="AK68" s="392"/>
      <c r="AL68" s="392"/>
      <c r="AM68" s="392"/>
      <c r="AN68" s="95" t="str">
        <f t="shared" si="21"/>
        <v/>
      </c>
      <c r="AO68" s="120"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si="22"/>
        <v/>
      </c>
      <c r="AZ68" s="227"/>
      <c r="BA68" s="94">
        <v>3</v>
      </c>
      <c r="BB68" s="96" t="str">
        <f t="shared" si="23"/>
        <v/>
      </c>
      <c r="BC68" s="96" t="str">
        <f t="shared" si="24"/>
        <v/>
      </c>
      <c r="BD68" s="96" t="str">
        <f t="shared" si="25"/>
        <v/>
      </c>
      <c r="BE68" s="96" t="str">
        <f t="shared" si="26"/>
        <v/>
      </c>
      <c r="BF68" s="96" t="str">
        <f t="shared" si="27"/>
        <v/>
      </c>
      <c r="BG68" s="96" t="str">
        <f t="shared" si="28"/>
        <v/>
      </c>
      <c r="BH68" s="96" t="str">
        <f t="shared" si="29"/>
        <v/>
      </c>
      <c r="BI68" s="96" t="str">
        <f t="shared" si="30"/>
        <v/>
      </c>
      <c r="BJ68" s="96" t="str">
        <f t="shared" si="31"/>
        <v/>
      </c>
      <c r="BK68" s="96" t="str">
        <f t="shared" si="32"/>
        <v/>
      </c>
      <c r="BL68" s="96" t="str">
        <f t="shared" si="33"/>
        <v/>
      </c>
      <c r="BM68" s="96" t="str">
        <f t="shared" si="34"/>
        <v/>
      </c>
      <c r="BN68" s="96" t="str">
        <f t="shared" si="35"/>
        <v/>
      </c>
      <c r="BO68" s="96" t="str">
        <f t="shared" si="36"/>
        <v/>
      </c>
      <c r="BP68" s="96" t="str">
        <f t="shared" si="37"/>
        <v/>
      </c>
      <c r="BQ68" s="96" t="str">
        <f t="shared" si="38"/>
        <v/>
      </c>
      <c r="BR68" s="96" t="str">
        <f t="shared" si="39"/>
        <v/>
      </c>
      <c r="BS68" s="96" t="str">
        <f t="shared" si="40"/>
        <v/>
      </c>
      <c r="BT68" s="96" t="str">
        <f t="shared" si="41"/>
        <v/>
      </c>
      <c r="BU68" s="95" t="str">
        <f t="shared" si="42"/>
        <v/>
      </c>
      <c r="BV68" s="205" t="str">
        <f t="shared" si="49"/>
        <v/>
      </c>
      <c r="BW68" s="96" t="s">
        <v>137</v>
      </c>
      <c r="BX68" s="96">
        <f>BD64</f>
        <v>0</v>
      </c>
    </row>
    <row r="69" spans="1:76" s="26" customFormat="1" ht="15.75" x14ac:dyDescent="0.25">
      <c r="B69" s="298">
        <v>4</v>
      </c>
      <c r="C69" s="122" t="str">
        <f t="shared" si="12"/>
        <v/>
      </c>
      <c r="D69" s="229" t="str">
        <f t="shared" si="43"/>
        <v/>
      </c>
      <c r="E69" s="176" t="str">
        <f t="shared" si="13"/>
        <v/>
      </c>
      <c r="F69" s="632"/>
      <c r="G69" s="633"/>
      <c r="H69" s="172" t="str">
        <f t="shared" si="14"/>
        <v/>
      </c>
      <c r="I69" s="366" t="str">
        <f t="shared" si="44"/>
        <v/>
      </c>
      <c r="J69" s="806" t="str">
        <f>IFERROR(IF(F69="","",VLOOKUP(F69,'10. Condition and Temporal'!$B$6:$F$103,5,FALSE)), "Error ▲")</f>
        <v/>
      </c>
      <c r="K69" s="807"/>
      <c r="L69" s="317" t="str">
        <f t="shared" si="45"/>
        <v/>
      </c>
      <c r="M69" s="650" t="str">
        <f t="shared" si="46"/>
        <v/>
      </c>
      <c r="N69" s="804"/>
      <c r="O69" s="75"/>
      <c r="P69" s="12"/>
      <c r="R69" s="664"/>
      <c r="T69" s="196" t="str">
        <f t="shared" si="15"/>
        <v/>
      </c>
      <c r="U69" s="117" t="str">
        <f t="shared" si="47"/>
        <v/>
      </c>
      <c r="V69" s="118" t="str">
        <f t="shared" si="16"/>
        <v/>
      </c>
      <c r="W69" s="117" t="str">
        <f t="shared" si="16"/>
        <v/>
      </c>
      <c r="X69" s="96" t="str">
        <f t="shared" si="16"/>
        <v/>
      </c>
      <c r="Y69" s="392"/>
      <c r="Z69" s="392"/>
      <c r="AA69" s="392"/>
      <c r="AB69" s="96" t="str">
        <f t="shared" si="17"/>
        <v/>
      </c>
      <c r="AC69" s="119" t="str">
        <f t="shared" si="18"/>
        <v/>
      </c>
      <c r="AD69" s="118" t="str">
        <f t="shared" si="50"/>
        <v/>
      </c>
      <c r="AE69" s="198" t="str">
        <f t="shared" si="48"/>
        <v/>
      </c>
      <c r="AF69" s="116" t="str">
        <f t="shared" si="19"/>
        <v/>
      </c>
      <c r="AG69" s="117" t="str">
        <f>IF(D69="","",VLOOKUP(F69,'9. All Habitats + Multipliers'!$C$4:$K$102,5,FALSE))</f>
        <v/>
      </c>
      <c r="AH69" s="118" t="str">
        <f>IF(AG69="","",VLOOKUP(AG69,'11. Lists'!$S$47:$U$50,2,FALSE))</f>
        <v/>
      </c>
      <c r="AI69" s="116" t="str">
        <f t="shared" si="20"/>
        <v/>
      </c>
      <c r="AJ69" s="94" t="str">
        <f>IF(AI69="","",VLOOKUP(AI69,'11. Lists'!$F$47:$G$51,2,FALSE))</f>
        <v/>
      </c>
      <c r="AK69" s="392"/>
      <c r="AL69" s="392"/>
      <c r="AM69" s="392"/>
      <c r="AN69" s="95" t="str">
        <f t="shared" si="21"/>
        <v/>
      </c>
      <c r="AO69" s="120" t="str">
        <f>IF(AN69="","",VLOOKUP(AN69,'11. Lists'!$F$36:$H$38,2,FALSE))</f>
        <v/>
      </c>
      <c r="AP69" s="118"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2"/>
        <v/>
      </c>
      <c r="AZ69" s="227"/>
      <c r="BA69" s="94">
        <v>4</v>
      </c>
      <c r="BB69" s="96" t="str">
        <f t="shared" si="23"/>
        <v/>
      </c>
      <c r="BC69" s="96" t="str">
        <f t="shared" si="24"/>
        <v/>
      </c>
      <c r="BD69" s="96" t="str">
        <f t="shared" si="25"/>
        <v/>
      </c>
      <c r="BE69" s="96" t="str">
        <f t="shared" si="26"/>
        <v/>
      </c>
      <c r="BF69" s="96" t="str">
        <f t="shared" si="27"/>
        <v/>
      </c>
      <c r="BG69" s="96" t="str">
        <f t="shared" si="28"/>
        <v/>
      </c>
      <c r="BH69" s="96" t="str">
        <f t="shared" si="29"/>
        <v/>
      </c>
      <c r="BI69" s="96" t="str">
        <f t="shared" si="30"/>
        <v/>
      </c>
      <c r="BJ69" s="96" t="str">
        <f t="shared" si="31"/>
        <v/>
      </c>
      <c r="BK69" s="96" t="str">
        <f t="shared" si="32"/>
        <v/>
      </c>
      <c r="BL69" s="96" t="str">
        <f t="shared" si="33"/>
        <v/>
      </c>
      <c r="BM69" s="96" t="str">
        <f t="shared" si="34"/>
        <v/>
      </c>
      <c r="BN69" s="96" t="str">
        <f t="shared" si="35"/>
        <v/>
      </c>
      <c r="BO69" s="96" t="str">
        <f t="shared" si="36"/>
        <v/>
      </c>
      <c r="BP69" s="96" t="str">
        <f t="shared" si="37"/>
        <v/>
      </c>
      <c r="BQ69" s="96" t="str">
        <f t="shared" si="38"/>
        <v/>
      </c>
      <c r="BR69" s="96" t="str">
        <f t="shared" si="39"/>
        <v/>
      </c>
      <c r="BS69" s="96" t="str">
        <f t="shared" si="40"/>
        <v/>
      </c>
      <c r="BT69" s="96" t="str">
        <f t="shared" si="41"/>
        <v/>
      </c>
      <c r="BU69" s="95" t="str">
        <f t="shared" si="42"/>
        <v/>
      </c>
      <c r="BV69" s="205" t="str">
        <f t="shared" si="49"/>
        <v/>
      </c>
      <c r="BW69" s="96" t="s">
        <v>138</v>
      </c>
      <c r="BX69" s="96">
        <f>BE64</f>
        <v>0</v>
      </c>
    </row>
    <row r="70" spans="1:76" s="26" customFormat="1" ht="15.75" x14ac:dyDescent="0.25">
      <c r="B70" s="298">
        <v>5</v>
      </c>
      <c r="C70" s="122" t="str">
        <f t="shared" si="12"/>
        <v/>
      </c>
      <c r="D70" s="229" t="str">
        <f t="shared" si="43"/>
        <v/>
      </c>
      <c r="E70" s="176" t="str">
        <f t="shared" si="13"/>
        <v/>
      </c>
      <c r="F70" s="632"/>
      <c r="G70" s="633"/>
      <c r="H70" s="172" t="str">
        <f t="shared" si="14"/>
        <v/>
      </c>
      <c r="I70" s="366" t="str">
        <f t="shared" si="44"/>
        <v/>
      </c>
      <c r="J70" s="806" t="str">
        <f>IFERROR(IF(F70="","",VLOOKUP(F70,'10. Condition and Temporal'!$B$6:$F$103,5,FALSE)), "Error ▲")</f>
        <v/>
      </c>
      <c r="K70" s="807"/>
      <c r="L70" s="317" t="str">
        <f t="shared" si="45"/>
        <v/>
      </c>
      <c r="M70" s="650" t="str">
        <f t="shared" si="46"/>
        <v/>
      </c>
      <c r="N70" s="804"/>
      <c r="O70" s="75"/>
      <c r="P70" s="12"/>
      <c r="R70" s="664"/>
      <c r="T70" s="196" t="str">
        <f t="shared" si="15"/>
        <v/>
      </c>
      <c r="U70" s="117" t="str">
        <f t="shared" si="47"/>
        <v/>
      </c>
      <c r="V70" s="118" t="str">
        <f t="shared" si="16"/>
        <v/>
      </c>
      <c r="W70" s="117" t="str">
        <f t="shared" si="16"/>
        <v/>
      </c>
      <c r="X70" s="96" t="str">
        <f t="shared" si="16"/>
        <v/>
      </c>
      <c r="Y70" s="392"/>
      <c r="Z70" s="392"/>
      <c r="AA70" s="392"/>
      <c r="AB70" s="96" t="str">
        <f t="shared" si="17"/>
        <v/>
      </c>
      <c r="AC70" s="119" t="str">
        <f t="shared" si="18"/>
        <v/>
      </c>
      <c r="AD70" s="118" t="str">
        <f t="shared" si="50"/>
        <v/>
      </c>
      <c r="AE70" s="198" t="str">
        <f t="shared" si="48"/>
        <v/>
      </c>
      <c r="AF70" s="116" t="str">
        <f t="shared" si="19"/>
        <v/>
      </c>
      <c r="AG70" s="117" t="str">
        <f>IF(D70="","",VLOOKUP(F70,'9. All Habitats + Multipliers'!$C$4:$K$102,5,FALSE))</f>
        <v/>
      </c>
      <c r="AH70" s="118" t="str">
        <f>IF(AG70="","",VLOOKUP(AG70,'11. Lists'!$S$47:$U$50,2,FALSE))</f>
        <v/>
      </c>
      <c r="AI70" s="116" t="str">
        <f t="shared" si="20"/>
        <v/>
      </c>
      <c r="AJ70" s="94" t="str">
        <f>IF(AI70="","",VLOOKUP(AI70,'11. Lists'!$F$47:$G$51,2,FALSE))</f>
        <v/>
      </c>
      <c r="AK70" s="392"/>
      <c r="AL70" s="392"/>
      <c r="AM70" s="392"/>
      <c r="AN70" s="95" t="str">
        <f t="shared" si="21"/>
        <v/>
      </c>
      <c r="AO70" s="120" t="str">
        <f>IF(AN70="","",VLOOKUP(AN70,'11. Lists'!$F$36:$H$38,2,FALSE))</f>
        <v/>
      </c>
      <c r="AP70" s="118"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2"/>
        <v/>
      </c>
      <c r="AZ70" s="227"/>
      <c r="BA70" s="94">
        <v>5</v>
      </c>
      <c r="BB70" s="96" t="str">
        <f t="shared" si="23"/>
        <v/>
      </c>
      <c r="BC70" s="96" t="str">
        <f t="shared" si="24"/>
        <v/>
      </c>
      <c r="BD70" s="96" t="str">
        <f t="shared" si="25"/>
        <v/>
      </c>
      <c r="BE70" s="96" t="str">
        <f t="shared" si="26"/>
        <v/>
      </c>
      <c r="BF70" s="96" t="str">
        <f t="shared" si="27"/>
        <v/>
      </c>
      <c r="BG70" s="96" t="str">
        <f t="shared" si="28"/>
        <v/>
      </c>
      <c r="BH70" s="96" t="str">
        <f t="shared" si="29"/>
        <v/>
      </c>
      <c r="BI70" s="96" t="str">
        <f t="shared" si="30"/>
        <v/>
      </c>
      <c r="BJ70" s="96" t="str">
        <f t="shared" si="31"/>
        <v/>
      </c>
      <c r="BK70" s="96" t="str">
        <f t="shared" si="32"/>
        <v/>
      </c>
      <c r="BL70" s="96" t="str">
        <f t="shared" si="33"/>
        <v/>
      </c>
      <c r="BM70" s="96" t="str">
        <f t="shared" si="34"/>
        <v/>
      </c>
      <c r="BN70" s="96" t="str">
        <f t="shared" si="35"/>
        <v/>
      </c>
      <c r="BO70" s="96" t="str">
        <f t="shared" si="36"/>
        <v/>
      </c>
      <c r="BP70" s="96" t="str">
        <f t="shared" si="37"/>
        <v/>
      </c>
      <c r="BQ70" s="96" t="str">
        <f t="shared" si="38"/>
        <v/>
      </c>
      <c r="BR70" s="96" t="str">
        <f t="shared" si="39"/>
        <v/>
      </c>
      <c r="BS70" s="96" t="str">
        <f t="shared" si="40"/>
        <v/>
      </c>
      <c r="BT70" s="96" t="str">
        <f t="shared" si="41"/>
        <v/>
      </c>
      <c r="BU70" s="95" t="str">
        <f t="shared" si="42"/>
        <v/>
      </c>
      <c r="BV70" s="205" t="str">
        <f t="shared" si="49"/>
        <v/>
      </c>
      <c r="BW70" s="96" t="s">
        <v>139</v>
      </c>
      <c r="BX70" s="96">
        <f>BF64</f>
        <v>0</v>
      </c>
    </row>
    <row r="71" spans="1:76" s="26" customFormat="1" ht="15.75" x14ac:dyDescent="0.25">
      <c r="B71" s="298">
        <v>6</v>
      </c>
      <c r="C71" s="122" t="str">
        <f t="shared" si="12"/>
        <v/>
      </c>
      <c r="D71" s="229" t="str">
        <f t="shared" si="43"/>
        <v/>
      </c>
      <c r="E71" s="176" t="str">
        <f t="shared" si="13"/>
        <v/>
      </c>
      <c r="F71" s="632"/>
      <c r="G71" s="633"/>
      <c r="H71" s="172" t="str">
        <f t="shared" si="14"/>
        <v/>
      </c>
      <c r="I71" s="366" t="str">
        <f t="shared" si="44"/>
        <v/>
      </c>
      <c r="J71" s="806" t="str">
        <f>IFERROR(IF(F71="","",VLOOKUP(F71,'10. Condition and Temporal'!$B$6:$F$103,5,FALSE)), "Error ▲")</f>
        <v/>
      </c>
      <c r="K71" s="807"/>
      <c r="L71" s="317" t="str">
        <f t="shared" si="45"/>
        <v/>
      </c>
      <c r="M71" s="650" t="str">
        <f t="shared" si="46"/>
        <v/>
      </c>
      <c r="N71" s="804"/>
      <c r="O71" s="75"/>
      <c r="P71" s="12"/>
      <c r="R71" s="664"/>
      <c r="T71" s="196" t="str">
        <f t="shared" si="15"/>
        <v/>
      </c>
      <c r="U71" s="117" t="str">
        <f t="shared" si="47"/>
        <v/>
      </c>
      <c r="V71" s="118" t="str">
        <f t="shared" si="16"/>
        <v/>
      </c>
      <c r="W71" s="117" t="str">
        <f t="shared" si="16"/>
        <v/>
      </c>
      <c r="X71" s="96" t="str">
        <f t="shared" si="16"/>
        <v/>
      </c>
      <c r="Y71" s="392"/>
      <c r="Z71" s="392"/>
      <c r="AA71" s="392"/>
      <c r="AB71" s="96" t="str">
        <f t="shared" si="17"/>
        <v/>
      </c>
      <c r="AC71" s="119" t="str">
        <f t="shared" si="18"/>
        <v/>
      </c>
      <c r="AD71" s="118" t="str">
        <f t="shared" si="50"/>
        <v/>
      </c>
      <c r="AE71" s="198" t="str">
        <f t="shared" si="48"/>
        <v/>
      </c>
      <c r="AF71" s="116" t="str">
        <f t="shared" si="19"/>
        <v/>
      </c>
      <c r="AG71" s="117" t="str">
        <f>IF(D71="","",VLOOKUP(F71,'9. All Habitats + Multipliers'!$C$4:$K$102,5,FALSE))</f>
        <v/>
      </c>
      <c r="AH71" s="118" t="str">
        <f>IF(AG71="","",VLOOKUP(AG71,'11. Lists'!$S$47:$U$50,2,FALSE))</f>
        <v/>
      </c>
      <c r="AI71" s="116" t="str">
        <f t="shared" si="20"/>
        <v/>
      </c>
      <c r="AJ71" s="94" t="str">
        <f>IF(AI71="","",VLOOKUP(AI71,'11. Lists'!$F$47:$G$51,2,FALSE))</f>
        <v/>
      </c>
      <c r="AK71" s="392"/>
      <c r="AL71" s="392"/>
      <c r="AM71" s="392"/>
      <c r="AN71" s="95" t="str">
        <f t="shared" si="21"/>
        <v/>
      </c>
      <c r="AO71" s="120" t="str">
        <f>IF(AN71="","",VLOOKUP(AN71,'11. Lists'!$F$36:$H$38,2,FALSE))</f>
        <v/>
      </c>
      <c r="AP71" s="118"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2"/>
        <v/>
      </c>
      <c r="AZ71" s="227"/>
      <c r="BA71" s="94">
        <v>6</v>
      </c>
      <c r="BB71" s="96" t="str">
        <f t="shared" si="23"/>
        <v/>
      </c>
      <c r="BC71" s="96" t="str">
        <f t="shared" si="24"/>
        <v/>
      </c>
      <c r="BD71" s="96" t="str">
        <f t="shared" si="25"/>
        <v/>
      </c>
      <c r="BE71" s="96" t="str">
        <f t="shared" si="26"/>
        <v/>
      </c>
      <c r="BF71" s="96" t="str">
        <f t="shared" si="27"/>
        <v/>
      </c>
      <c r="BG71" s="96" t="str">
        <f t="shared" si="28"/>
        <v/>
      </c>
      <c r="BH71" s="96" t="str">
        <f t="shared" si="29"/>
        <v/>
      </c>
      <c r="BI71" s="96" t="str">
        <f t="shared" si="30"/>
        <v/>
      </c>
      <c r="BJ71" s="96" t="str">
        <f t="shared" si="31"/>
        <v/>
      </c>
      <c r="BK71" s="96" t="str">
        <f t="shared" si="32"/>
        <v/>
      </c>
      <c r="BL71" s="96" t="str">
        <f t="shared" si="33"/>
        <v/>
      </c>
      <c r="BM71" s="96" t="str">
        <f t="shared" si="34"/>
        <v/>
      </c>
      <c r="BN71" s="96" t="str">
        <f t="shared" si="35"/>
        <v/>
      </c>
      <c r="BO71" s="96" t="str">
        <f t="shared" si="36"/>
        <v/>
      </c>
      <c r="BP71" s="96" t="str">
        <f t="shared" si="37"/>
        <v/>
      </c>
      <c r="BQ71" s="96" t="str">
        <f t="shared" si="38"/>
        <v/>
      </c>
      <c r="BR71" s="96" t="str">
        <f t="shared" si="39"/>
        <v/>
      </c>
      <c r="BS71" s="96" t="str">
        <f t="shared" si="40"/>
        <v/>
      </c>
      <c r="BT71" s="96" t="str">
        <f t="shared" si="41"/>
        <v/>
      </c>
      <c r="BU71" s="95" t="str">
        <f t="shared" si="42"/>
        <v/>
      </c>
      <c r="BV71" s="205" t="str">
        <f t="shared" si="49"/>
        <v/>
      </c>
      <c r="BW71" s="96" t="s">
        <v>140</v>
      </c>
      <c r="BX71" s="96">
        <f>BG64</f>
        <v>0</v>
      </c>
    </row>
    <row r="72" spans="1:76" s="26" customFormat="1" ht="15.75" x14ac:dyDescent="0.25">
      <c r="B72" s="298">
        <v>7</v>
      </c>
      <c r="C72" s="122" t="str">
        <f t="shared" si="12"/>
        <v/>
      </c>
      <c r="D72" s="229" t="str">
        <f t="shared" si="43"/>
        <v/>
      </c>
      <c r="E72" s="176" t="str">
        <f t="shared" si="13"/>
        <v/>
      </c>
      <c r="F72" s="632"/>
      <c r="G72" s="633"/>
      <c r="H72" s="172" t="str">
        <f t="shared" si="14"/>
        <v/>
      </c>
      <c r="I72" s="366" t="str">
        <f t="shared" si="44"/>
        <v/>
      </c>
      <c r="J72" s="806" t="str">
        <f>IFERROR(IF(F72="","",VLOOKUP(F72,'10. Condition and Temporal'!$B$6:$F$103,5,FALSE)), "Error ▲")</f>
        <v/>
      </c>
      <c r="K72" s="807"/>
      <c r="L72" s="317" t="str">
        <f t="shared" si="45"/>
        <v/>
      </c>
      <c r="M72" s="650" t="str">
        <f t="shared" si="46"/>
        <v/>
      </c>
      <c r="N72" s="804"/>
      <c r="O72" s="75"/>
      <c r="P72" s="12"/>
      <c r="R72" s="664"/>
      <c r="T72" s="196" t="str">
        <f t="shared" si="15"/>
        <v/>
      </c>
      <c r="U72" s="117" t="str">
        <f t="shared" si="47"/>
        <v/>
      </c>
      <c r="V72" s="118" t="str">
        <f t="shared" si="16"/>
        <v/>
      </c>
      <c r="W72" s="117" t="str">
        <f t="shared" si="16"/>
        <v/>
      </c>
      <c r="X72" s="96" t="str">
        <f t="shared" si="16"/>
        <v/>
      </c>
      <c r="Y72" s="392"/>
      <c r="Z72" s="392"/>
      <c r="AA72" s="392"/>
      <c r="AB72" s="96" t="str">
        <f t="shared" si="17"/>
        <v/>
      </c>
      <c r="AC72" s="119" t="str">
        <f t="shared" si="18"/>
        <v/>
      </c>
      <c r="AD72" s="118" t="str">
        <f t="shared" si="50"/>
        <v/>
      </c>
      <c r="AE72" s="198" t="str">
        <f t="shared" si="48"/>
        <v/>
      </c>
      <c r="AF72" s="116" t="str">
        <f t="shared" si="19"/>
        <v/>
      </c>
      <c r="AG72" s="117" t="str">
        <f>IF(D72="","",VLOOKUP(F72,'9. All Habitats + Multipliers'!$C$4:$K$102,5,FALSE))</f>
        <v/>
      </c>
      <c r="AH72" s="118" t="str">
        <f>IF(AG72="","",VLOOKUP(AG72,'11. Lists'!$S$47:$U$50,2,FALSE))</f>
        <v/>
      </c>
      <c r="AI72" s="116" t="str">
        <f t="shared" si="20"/>
        <v/>
      </c>
      <c r="AJ72" s="94" t="str">
        <f>IF(AI72="","",VLOOKUP(AI72,'11. Lists'!$F$47:$G$51,2,FALSE))</f>
        <v/>
      </c>
      <c r="AK72" s="392"/>
      <c r="AL72" s="392"/>
      <c r="AM72" s="392"/>
      <c r="AN72" s="95" t="str">
        <f t="shared" si="21"/>
        <v/>
      </c>
      <c r="AO72" s="120" t="str">
        <f>IF(AN72="","",VLOOKUP(AN72,'11. Lists'!$F$36:$H$38,2,FALSE))</f>
        <v/>
      </c>
      <c r="AP72" s="118"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2"/>
        <v/>
      </c>
      <c r="AZ72" s="227"/>
      <c r="BA72" s="94">
        <v>7</v>
      </c>
      <c r="BB72" s="96" t="str">
        <f t="shared" si="23"/>
        <v/>
      </c>
      <c r="BC72" s="96" t="str">
        <f t="shared" si="24"/>
        <v/>
      </c>
      <c r="BD72" s="96" t="str">
        <f t="shared" si="25"/>
        <v/>
      </c>
      <c r="BE72" s="96" t="str">
        <f t="shared" si="26"/>
        <v/>
      </c>
      <c r="BF72" s="96" t="str">
        <f t="shared" si="27"/>
        <v/>
      </c>
      <c r="BG72" s="96" t="str">
        <f t="shared" si="28"/>
        <v/>
      </c>
      <c r="BH72" s="96" t="str">
        <f t="shared" si="29"/>
        <v/>
      </c>
      <c r="BI72" s="96" t="str">
        <f t="shared" si="30"/>
        <v/>
      </c>
      <c r="BJ72" s="96" t="str">
        <f t="shared" si="31"/>
        <v/>
      </c>
      <c r="BK72" s="96" t="str">
        <f t="shared" si="32"/>
        <v/>
      </c>
      <c r="BL72" s="96" t="str">
        <f t="shared" si="33"/>
        <v/>
      </c>
      <c r="BM72" s="96" t="str">
        <f t="shared" si="34"/>
        <v/>
      </c>
      <c r="BN72" s="96" t="str">
        <f t="shared" si="35"/>
        <v/>
      </c>
      <c r="BO72" s="96" t="str">
        <f t="shared" si="36"/>
        <v/>
      </c>
      <c r="BP72" s="96" t="str">
        <f t="shared" si="37"/>
        <v/>
      </c>
      <c r="BQ72" s="96" t="str">
        <f t="shared" si="38"/>
        <v/>
      </c>
      <c r="BR72" s="96" t="str">
        <f t="shared" si="39"/>
        <v/>
      </c>
      <c r="BS72" s="96" t="str">
        <f t="shared" si="40"/>
        <v/>
      </c>
      <c r="BT72" s="96" t="str">
        <f t="shared" si="41"/>
        <v/>
      </c>
      <c r="BU72" s="95" t="str">
        <f t="shared" si="42"/>
        <v/>
      </c>
      <c r="BV72" s="205" t="str">
        <f t="shared" si="49"/>
        <v/>
      </c>
      <c r="BW72" s="96" t="s">
        <v>141</v>
      </c>
      <c r="BX72" s="96">
        <f>BH64</f>
        <v>0</v>
      </c>
    </row>
    <row r="73" spans="1:76" s="26" customFormat="1" ht="15.75" x14ac:dyDescent="0.25">
      <c r="B73" s="298">
        <v>8</v>
      </c>
      <c r="C73" s="122" t="str">
        <f t="shared" si="12"/>
        <v/>
      </c>
      <c r="D73" s="229" t="str">
        <f t="shared" si="43"/>
        <v/>
      </c>
      <c r="E73" s="176" t="str">
        <f t="shared" si="13"/>
        <v/>
      </c>
      <c r="F73" s="632"/>
      <c r="G73" s="633"/>
      <c r="H73" s="172" t="str">
        <f t="shared" si="14"/>
        <v/>
      </c>
      <c r="I73" s="366" t="str">
        <f t="shared" si="44"/>
        <v/>
      </c>
      <c r="J73" s="806" t="str">
        <f>IFERROR(IF(F73="","",VLOOKUP(F73,'10. Condition and Temporal'!$B$6:$F$103,5,FALSE)), "Error ▲")</f>
        <v/>
      </c>
      <c r="K73" s="807"/>
      <c r="L73" s="317" t="str">
        <f t="shared" si="45"/>
        <v/>
      </c>
      <c r="M73" s="650" t="str">
        <f t="shared" si="46"/>
        <v/>
      </c>
      <c r="N73" s="804"/>
      <c r="O73" s="75"/>
      <c r="P73" s="12"/>
      <c r="R73" s="664"/>
      <c r="T73" s="196" t="str">
        <f t="shared" si="15"/>
        <v/>
      </c>
      <c r="U73" s="117" t="str">
        <f t="shared" si="47"/>
        <v/>
      </c>
      <c r="V73" s="118" t="str">
        <f t="shared" si="16"/>
        <v/>
      </c>
      <c r="W73" s="117" t="str">
        <f t="shared" si="16"/>
        <v/>
      </c>
      <c r="X73" s="96" t="str">
        <f t="shared" si="16"/>
        <v/>
      </c>
      <c r="Y73" s="392"/>
      <c r="Z73" s="392"/>
      <c r="AA73" s="392"/>
      <c r="AB73" s="96" t="str">
        <f t="shared" si="17"/>
        <v/>
      </c>
      <c r="AC73" s="119" t="str">
        <f t="shared" si="18"/>
        <v/>
      </c>
      <c r="AD73" s="118" t="str">
        <f t="shared" si="50"/>
        <v/>
      </c>
      <c r="AE73" s="198" t="str">
        <f t="shared" si="48"/>
        <v/>
      </c>
      <c r="AF73" s="116" t="str">
        <f t="shared" si="19"/>
        <v/>
      </c>
      <c r="AG73" s="117" t="str">
        <f>IF(D73="","",VLOOKUP(F73,'9. All Habitats + Multipliers'!$C$4:$K$102,5,FALSE))</f>
        <v/>
      </c>
      <c r="AH73" s="118" t="str">
        <f>IF(AG73="","",VLOOKUP(AG73,'11. Lists'!$S$47:$U$50,2,FALSE))</f>
        <v/>
      </c>
      <c r="AI73" s="116" t="str">
        <f t="shared" si="20"/>
        <v/>
      </c>
      <c r="AJ73" s="94" t="str">
        <f>IF(AI73="","",VLOOKUP(AI73,'11. Lists'!$F$47:$G$51,2,FALSE))</f>
        <v/>
      </c>
      <c r="AK73" s="392"/>
      <c r="AL73" s="392"/>
      <c r="AM73" s="392"/>
      <c r="AN73" s="95" t="str">
        <f t="shared" si="21"/>
        <v/>
      </c>
      <c r="AO73" s="120" t="str">
        <f>IF(AN73="","",VLOOKUP(AN73,'11. Lists'!$F$36:$H$38,2,FALSE))</f>
        <v/>
      </c>
      <c r="AP73" s="118"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2"/>
        <v/>
      </c>
      <c r="AZ73" s="227"/>
      <c r="BA73" s="94">
        <v>8</v>
      </c>
      <c r="BB73" s="96" t="str">
        <f t="shared" si="23"/>
        <v/>
      </c>
      <c r="BC73" s="96" t="str">
        <f t="shared" si="24"/>
        <v/>
      </c>
      <c r="BD73" s="96" t="str">
        <f t="shared" si="25"/>
        <v/>
      </c>
      <c r="BE73" s="96" t="str">
        <f t="shared" si="26"/>
        <v/>
      </c>
      <c r="BF73" s="96" t="str">
        <f t="shared" si="27"/>
        <v/>
      </c>
      <c r="BG73" s="96" t="str">
        <f t="shared" si="28"/>
        <v/>
      </c>
      <c r="BH73" s="96" t="str">
        <f t="shared" si="29"/>
        <v/>
      </c>
      <c r="BI73" s="96" t="str">
        <f t="shared" si="30"/>
        <v/>
      </c>
      <c r="BJ73" s="96" t="str">
        <f t="shared" si="31"/>
        <v/>
      </c>
      <c r="BK73" s="96" t="str">
        <f t="shared" si="32"/>
        <v/>
      </c>
      <c r="BL73" s="96" t="str">
        <f t="shared" si="33"/>
        <v/>
      </c>
      <c r="BM73" s="96" t="str">
        <f t="shared" si="34"/>
        <v/>
      </c>
      <c r="BN73" s="96" t="str">
        <f t="shared" si="35"/>
        <v/>
      </c>
      <c r="BO73" s="96" t="str">
        <f t="shared" si="36"/>
        <v/>
      </c>
      <c r="BP73" s="96" t="str">
        <f t="shared" si="37"/>
        <v/>
      </c>
      <c r="BQ73" s="96" t="str">
        <f t="shared" si="38"/>
        <v/>
      </c>
      <c r="BR73" s="96" t="str">
        <f t="shared" si="39"/>
        <v/>
      </c>
      <c r="BS73" s="96" t="str">
        <f t="shared" si="40"/>
        <v/>
      </c>
      <c r="BT73" s="96" t="str">
        <f t="shared" si="41"/>
        <v/>
      </c>
      <c r="BU73" s="95" t="str">
        <f t="shared" si="42"/>
        <v/>
      </c>
      <c r="BV73" s="205" t="str">
        <f t="shared" si="49"/>
        <v/>
      </c>
      <c r="BW73" s="96" t="s">
        <v>142</v>
      </c>
      <c r="BX73" s="96">
        <f>BI64</f>
        <v>0</v>
      </c>
    </row>
    <row r="74" spans="1:76" s="26" customFormat="1" ht="15.75" x14ac:dyDescent="0.25">
      <c r="B74" s="298">
        <v>9</v>
      </c>
      <c r="C74" s="122" t="str">
        <f t="shared" si="12"/>
        <v/>
      </c>
      <c r="D74" s="229" t="str">
        <f t="shared" si="43"/>
        <v/>
      </c>
      <c r="E74" s="176" t="str">
        <f t="shared" si="13"/>
        <v/>
      </c>
      <c r="F74" s="632"/>
      <c r="G74" s="633"/>
      <c r="H74" s="172" t="str">
        <f t="shared" si="14"/>
        <v/>
      </c>
      <c r="I74" s="366" t="str">
        <f t="shared" si="44"/>
        <v/>
      </c>
      <c r="J74" s="806" t="str">
        <f>IFERROR(IF(F74="","",VLOOKUP(F74,'10. Condition and Temporal'!$B$6:$F$103,5,FALSE)), "Error ▲")</f>
        <v/>
      </c>
      <c r="K74" s="807"/>
      <c r="L74" s="317" t="str">
        <f t="shared" si="45"/>
        <v/>
      </c>
      <c r="M74" s="650" t="str">
        <f t="shared" si="46"/>
        <v/>
      </c>
      <c r="N74" s="804"/>
      <c r="O74" s="75"/>
      <c r="P74" s="12"/>
      <c r="R74" s="664"/>
      <c r="T74" s="196" t="str">
        <f t="shared" si="15"/>
        <v/>
      </c>
      <c r="U74" s="117" t="str">
        <f t="shared" si="47"/>
        <v/>
      </c>
      <c r="V74" s="118" t="str">
        <f t="shared" si="16"/>
        <v/>
      </c>
      <c r="W74" s="117" t="str">
        <f t="shared" si="16"/>
        <v/>
      </c>
      <c r="X74" s="96" t="str">
        <f t="shared" si="16"/>
        <v/>
      </c>
      <c r="Y74" s="392"/>
      <c r="Z74" s="392"/>
      <c r="AA74" s="392"/>
      <c r="AB74" s="96" t="str">
        <f t="shared" si="17"/>
        <v/>
      </c>
      <c r="AC74" s="119" t="str">
        <f t="shared" si="18"/>
        <v/>
      </c>
      <c r="AD74" s="118" t="str">
        <f t="shared" si="50"/>
        <v/>
      </c>
      <c r="AE74" s="198" t="str">
        <f t="shared" si="48"/>
        <v/>
      </c>
      <c r="AF74" s="116" t="str">
        <f t="shared" si="19"/>
        <v/>
      </c>
      <c r="AG74" s="117" t="str">
        <f>IF(D74="","",VLOOKUP(F74,'9. All Habitats + Multipliers'!$C$4:$K$102,5,FALSE))</f>
        <v/>
      </c>
      <c r="AH74" s="118" t="str">
        <f>IF(AG74="","",VLOOKUP(AG74,'11. Lists'!$S$47:$U$50,2,FALSE))</f>
        <v/>
      </c>
      <c r="AI74" s="116" t="str">
        <f t="shared" si="20"/>
        <v/>
      </c>
      <c r="AJ74" s="94" t="str">
        <f>IF(AI74="","",VLOOKUP(AI74,'11. Lists'!$F$47:$G$51,2,FALSE))</f>
        <v/>
      </c>
      <c r="AK74" s="392"/>
      <c r="AL74" s="392"/>
      <c r="AM74" s="392"/>
      <c r="AN74" s="95" t="str">
        <f t="shared" si="21"/>
        <v/>
      </c>
      <c r="AO74" s="120" t="str">
        <f>IF(AN74="","",VLOOKUP(AN74,'11. Lists'!$F$36:$H$38,2,FALSE))</f>
        <v/>
      </c>
      <c r="AP74" s="118"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2"/>
        <v/>
      </c>
      <c r="AZ74" s="227"/>
      <c r="BA74" s="94">
        <v>9</v>
      </c>
      <c r="BB74" s="96" t="str">
        <f t="shared" si="23"/>
        <v/>
      </c>
      <c r="BC74" s="96" t="str">
        <f t="shared" si="24"/>
        <v/>
      </c>
      <c r="BD74" s="96" t="str">
        <f t="shared" si="25"/>
        <v/>
      </c>
      <c r="BE74" s="96" t="str">
        <f t="shared" si="26"/>
        <v/>
      </c>
      <c r="BF74" s="96" t="str">
        <f t="shared" si="27"/>
        <v/>
      </c>
      <c r="BG74" s="96" t="str">
        <f t="shared" si="28"/>
        <v/>
      </c>
      <c r="BH74" s="96" t="str">
        <f t="shared" si="29"/>
        <v/>
      </c>
      <c r="BI74" s="96" t="str">
        <f t="shared" si="30"/>
        <v/>
      </c>
      <c r="BJ74" s="96" t="str">
        <f t="shared" si="31"/>
        <v/>
      </c>
      <c r="BK74" s="96" t="str">
        <f t="shared" si="32"/>
        <v/>
      </c>
      <c r="BL74" s="96" t="str">
        <f t="shared" si="33"/>
        <v/>
      </c>
      <c r="BM74" s="96" t="str">
        <f t="shared" si="34"/>
        <v/>
      </c>
      <c r="BN74" s="96" t="str">
        <f t="shared" si="35"/>
        <v/>
      </c>
      <c r="BO74" s="96" t="str">
        <f t="shared" si="36"/>
        <v/>
      </c>
      <c r="BP74" s="96" t="str">
        <f t="shared" si="37"/>
        <v/>
      </c>
      <c r="BQ74" s="96" t="str">
        <f t="shared" si="38"/>
        <v/>
      </c>
      <c r="BR74" s="96" t="str">
        <f t="shared" si="39"/>
        <v/>
      </c>
      <c r="BS74" s="96" t="str">
        <f t="shared" si="40"/>
        <v/>
      </c>
      <c r="BT74" s="96" t="str">
        <f t="shared" si="41"/>
        <v/>
      </c>
      <c r="BU74" s="95" t="str">
        <f t="shared" si="42"/>
        <v/>
      </c>
      <c r="BV74" s="205" t="str">
        <f t="shared" si="49"/>
        <v/>
      </c>
      <c r="BW74" s="96" t="s">
        <v>143</v>
      </c>
      <c r="BX74" s="96">
        <f>BJ64</f>
        <v>0</v>
      </c>
    </row>
    <row r="75" spans="1:76" s="26" customFormat="1" ht="15.75" x14ac:dyDescent="0.25">
      <c r="B75" s="298">
        <v>10</v>
      </c>
      <c r="C75" s="122" t="str">
        <f t="shared" si="12"/>
        <v/>
      </c>
      <c r="D75" s="229" t="str">
        <f t="shared" si="43"/>
        <v/>
      </c>
      <c r="E75" s="176" t="str">
        <f t="shared" si="13"/>
        <v/>
      </c>
      <c r="F75" s="632"/>
      <c r="G75" s="633"/>
      <c r="H75" s="172" t="str">
        <f t="shared" si="14"/>
        <v/>
      </c>
      <c r="I75" s="366" t="str">
        <f t="shared" si="44"/>
        <v/>
      </c>
      <c r="J75" s="806" t="str">
        <f>IFERROR(IF(F75="","",VLOOKUP(F75,'10. Condition and Temporal'!$B$6:$F$103,5,FALSE)), "Error ▲")</f>
        <v/>
      </c>
      <c r="K75" s="807"/>
      <c r="L75" s="317" t="str">
        <f t="shared" si="45"/>
        <v/>
      </c>
      <c r="M75" s="650" t="str">
        <f t="shared" si="46"/>
        <v/>
      </c>
      <c r="N75" s="804"/>
      <c r="O75" s="75"/>
      <c r="P75" s="12"/>
      <c r="R75" s="664"/>
      <c r="T75" s="196" t="str">
        <f t="shared" si="15"/>
        <v/>
      </c>
      <c r="U75" s="117" t="str">
        <f t="shared" si="47"/>
        <v/>
      </c>
      <c r="V75" s="118" t="str">
        <f t="shared" si="16"/>
        <v/>
      </c>
      <c r="W75" s="117" t="str">
        <f t="shared" si="16"/>
        <v/>
      </c>
      <c r="X75" s="96" t="str">
        <f t="shared" si="16"/>
        <v/>
      </c>
      <c r="Y75" s="392"/>
      <c r="Z75" s="392"/>
      <c r="AA75" s="392"/>
      <c r="AB75" s="96" t="str">
        <f t="shared" si="17"/>
        <v/>
      </c>
      <c r="AC75" s="119" t="str">
        <f t="shared" si="18"/>
        <v/>
      </c>
      <c r="AD75" s="118" t="str">
        <f t="shared" si="50"/>
        <v/>
      </c>
      <c r="AE75" s="198" t="str">
        <f t="shared" si="48"/>
        <v/>
      </c>
      <c r="AF75" s="116" t="str">
        <f t="shared" si="19"/>
        <v/>
      </c>
      <c r="AG75" s="117" t="str">
        <f>IF(D75="","",VLOOKUP(F75,'9. All Habitats + Multipliers'!$C$4:$K$102,5,FALSE))</f>
        <v/>
      </c>
      <c r="AH75" s="118" t="str">
        <f>IF(AG75="","",VLOOKUP(AG75,'11. Lists'!$S$47:$U$50,2,FALSE))</f>
        <v/>
      </c>
      <c r="AI75" s="116" t="str">
        <f t="shared" si="20"/>
        <v/>
      </c>
      <c r="AJ75" s="94" t="str">
        <f>IF(AI75="","",VLOOKUP(AI75,'11. Lists'!$F$47:$G$51,2,FALSE))</f>
        <v/>
      </c>
      <c r="AK75" s="392"/>
      <c r="AL75" s="392"/>
      <c r="AM75" s="392"/>
      <c r="AN75" s="95" t="str">
        <f t="shared" si="21"/>
        <v/>
      </c>
      <c r="AO75" s="120" t="str">
        <f>IF(AN75="","",VLOOKUP(AN75,'11. Lists'!$F$36:$H$38,2,FALSE))</f>
        <v/>
      </c>
      <c r="AP75" s="118"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2"/>
        <v/>
      </c>
      <c r="AZ75" s="227"/>
      <c r="BA75" s="94">
        <v>10</v>
      </c>
      <c r="BB75" s="96" t="str">
        <f t="shared" si="23"/>
        <v/>
      </c>
      <c r="BC75" s="96" t="str">
        <f t="shared" si="24"/>
        <v/>
      </c>
      <c r="BD75" s="96" t="str">
        <f t="shared" si="25"/>
        <v/>
      </c>
      <c r="BE75" s="96" t="str">
        <f t="shared" si="26"/>
        <v/>
      </c>
      <c r="BF75" s="96" t="str">
        <f t="shared" si="27"/>
        <v/>
      </c>
      <c r="BG75" s="96" t="str">
        <f t="shared" si="28"/>
        <v/>
      </c>
      <c r="BH75" s="96" t="str">
        <f t="shared" si="29"/>
        <v/>
      </c>
      <c r="BI75" s="96" t="str">
        <f t="shared" si="30"/>
        <v/>
      </c>
      <c r="BJ75" s="96" t="str">
        <f t="shared" si="31"/>
        <v/>
      </c>
      <c r="BK75" s="96" t="str">
        <f t="shared" si="32"/>
        <v/>
      </c>
      <c r="BL75" s="96" t="str">
        <f t="shared" si="33"/>
        <v/>
      </c>
      <c r="BM75" s="96" t="str">
        <f t="shared" si="34"/>
        <v/>
      </c>
      <c r="BN75" s="96" t="str">
        <f t="shared" si="35"/>
        <v/>
      </c>
      <c r="BO75" s="96" t="str">
        <f t="shared" si="36"/>
        <v/>
      </c>
      <c r="BP75" s="96" t="str">
        <f t="shared" si="37"/>
        <v/>
      </c>
      <c r="BQ75" s="96" t="str">
        <f t="shared" si="38"/>
        <v/>
      </c>
      <c r="BR75" s="96" t="str">
        <f t="shared" si="39"/>
        <v/>
      </c>
      <c r="BS75" s="96" t="str">
        <f t="shared" si="40"/>
        <v/>
      </c>
      <c r="BT75" s="96" t="str">
        <f t="shared" si="41"/>
        <v/>
      </c>
      <c r="BU75" s="95" t="str">
        <f t="shared" si="42"/>
        <v/>
      </c>
      <c r="BV75" s="205" t="str">
        <f t="shared" si="49"/>
        <v/>
      </c>
      <c r="BW75" s="96" t="s">
        <v>144</v>
      </c>
      <c r="BX75" s="96">
        <f>BK64</f>
        <v>0</v>
      </c>
    </row>
    <row r="76" spans="1:76" s="26" customFormat="1" ht="15.75" x14ac:dyDescent="0.25">
      <c r="B76" s="298">
        <v>11</v>
      </c>
      <c r="C76" s="122" t="str">
        <f t="shared" si="12"/>
        <v/>
      </c>
      <c r="D76" s="229" t="str">
        <f t="shared" si="43"/>
        <v/>
      </c>
      <c r="E76" s="176" t="str">
        <f t="shared" si="13"/>
        <v/>
      </c>
      <c r="F76" s="632"/>
      <c r="G76" s="633"/>
      <c r="H76" s="172" t="str">
        <f t="shared" si="14"/>
        <v/>
      </c>
      <c r="I76" s="366" t="str">
        <f t="shared" si="44"/>
        <v/>
      </c>
      <c r="J76" s="806" t="str">
        <f>IFERROR(IF(F76="","",VLOOKUP(F76,'10. Condition and Temporal'!$B$6:$F$103,5,FALSE)), "Error ▲")</f>
        <v/>
      </c>
      <c r="K76" s="807"/>
      <c r="L76" s="317" t="str">
        <f t="shared" si="45"/>
        <v/>
      </c>
      <c r="M76" s="650" t="str">
        <f t="shared" si="46"/>
        <v/>
      </c>
      <c r="N76" s="804"/>
      <c r="O76" s="75"/>
      <c r="P76" s="12"/>
      <c r="R76" s="664"/>
      <c r="T76" s="196" t="str">
        <f t="shared" si="15"/>
        <v/>
      </c>
      <c r="U76" s="117" t="str">
        <f t="shared" si="47"/>
        <v/>
      </c>
      <c r="V76" s="118" t="str">
        <f t="shared" si="16"/>
        <v/>
      </c>
      <c r="W76" s="117" t="str">
        <f t="shared" si="16"/>
        <v/>
      </c>
      <c r="X76" s="96" t="str">
        <f t="shared" si="16"/>
        <v/>
      </c>
      <c r="Y76" s="392"/>
      <c r="Z76" s="392"/>
      <c r="AA76" s="392"/>
      <c r="AB76" s="96" t="str">
        <f t="shared" si="17"/>
        <v/>
      </c>
      <c r="AC76" s="119" t="str">
        <f t="shared" si="18"/>
        <v/>
      </c>
      <c r="AD76" s="118" t="str">
        <f t="shared" si="50"/>
        <v/>
      </c>
      <c r="AE76" s="198" t="str">
        <f t="shared" si="48"/>
        <v/>
      </c>
      <c r="AF76" s="116" t="str">
        <f t="shared" si="19"/>
        <v/>
      </c>
      <c r="AG76" s="117" t="str">
        <f>IF(D76="","",VLOOKUP(F76,'9. All Habitats + Multipliers'!$C$4:$K$102,5,FALSE))</f>
        <v/>
      </c>
      <c r="AH76" s="118" t="str">
        <f>IF(AG76="","",VLOOKUP(AG76,'11. Lists'!$S$47:$U$50,2,FALSE))</f>
        <v/>
      </c>
      <c r="AI76" s="116" t="str">
        <f t="shared" si="20"/>
        <v/>
      </c>
      <c r="AJ76" s="94" t="str">
        <f>IF(AI76="","",VLOOKUP(AI76,'11. Lists'!$F$47:$G$51,2,FALSE))</f>
        <v/>
      </c>
      <c r="AK76" s="392"/>
      <c r="AL76" s="392"/>
      <c r="AM76" s="392"/>
      <c r="AN76" s="95" t="str">
        <f t="shared" si="21"/>
        <v/>
      </c>
      <c r="AO76" s="120" t="str">
        <f>IF(AN76="","",VLOOKUP(AN76,'11. Lists'!$F$36:$H$38,2,FALSE))</f>
        <v/>
      </c>
      <c r="AP76" s="118"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2"/>
        <v/>
      </c>
      <c r="AZ76" s="227"/>
      <c r="BA76" s="94">
        <v>11</v>
      </c>
      <c r="BB76" s="96" t="str">
        <f t="shared" si="23"/>
        <v/>
      </c>
      <c r="BC76" s="96" t="str">
        <f t="shared" si="24"/>
        <v/>
      </c>
      <c r="BD76" s="96" t="str">
        <f t="shared" si="25"/>
        <v/>
      </c>
      <c r="BE76" s="96" t="str">
        <f t="shared" si="26"/>
        <v/>
      </c>
      <c r="BF76" s="96" t="str">
        <f t="shared" si="27"/>
        <v/>
      </c>
      <c r="BG76" s="96" t="str">
        <f t="shared" si="28"/>
        <v/>
      </c>
      <c r="BH76" s="96" t="str">
        <f t="shared" si="29"/>
        <v/>
      </c>
      <c r="BI76" s="96" t="str">
        <f t="shared" si="30"/>
        <v/>
      </c>
      <c r="BJ76" s="96" t="str">
        <f t="shared" si="31"/>
        <v/>
      </c>
      <c r="BK76" s="96" t="str">
        <f t="shared" si="32"/>
        <v/>
      </c>
      <c r="BL76" s="96" t="str">
        <f t="shared" si="33"/>
        <v/>
      </c>
      <c r="BM76" s="96" t="str">
        <f t="shared" si="34"/>
        <v/>
      </c>
      <c r="BN76" s="96" t="str">
        <f t="shared" si="35"/>
        <v/>
      </c>
      <c r="BO76" s="96" t="str">
        <f t="shared" si="36"/>
        <v/>
      </c>
      <c r="BP76" s="96" t="str">
        <f t="shared" si="37"/>
        <v/>
      </c>
      <c r="BQ76" s="96" t="str">
        <f t="shared" si="38"/>
        <v/>
      </c>
      <c r="BR76" s="96" t="str">
        <f t="shared" si="39"/>
        <v/>
      </c>
      <c r="BS76" s="96" t="str">
        <f t="shared" si="40"/>
        <v/>
      </c>
      <c r="BT76" s="96" t="str">
        <f t="shared" si="41"/>
        <v/>
      </c>
      <c r="BU76" s="95" t="str">
        <f t="shared" si="42"/>
        <v/>
      </c>
      <c r="BV76" s="205" t="str">
        <f t="shared" si="49"/>
        <v/>
      </c>
      <c r="BW76" s="96" t="s">
        <v>145</v>
      </c>
      <c r="BX76" s="96">
        <f>BL64</f>
        <v>0</v>
      </c>
    </row>
    <row r="77" spans="1:76" s="26" customFormat="1" ht="15.75" x14ac:dyDescent="0.25">
      <c r="B77" s="298">
        <v>12</v>
      </c>
      <c r="C77" s="122" t="str">
        <f t="shared" si="12"/>
        <v/>
      </c>
      <c r="D77" s="229" t="str">
        <f t="shared" si="43"/>
        <v/>
      </c>
      <c r="E77" s="176" t="str">
        <f t="shared" si="13"/>
        <v/>
      </c>
      <c r="F77" s="632"/>
      <c r="G77" s="633"/>
      <c r="H77" s="172" t="str">
        <f t="shared" si="14"/>
        <v/>
      </c>
      <c r="I77" s="366" t="str">
        <f t="shared" si="44"/>
        <v/>
      </c>
      <c r="J77" s="806" t="str">
        <f>IFERROR(IF(F77="","",VLOOKUP(F77,'10. Condition and Temporal'!$B$6:$F$103,5,FALSE)), "Error ▲")</f>
        <v/>
      </c>
      <c r="K77" s="807"/>
      <c r="L77" s="317" t="str">
        <f t="shared" si="45"/>
        <v/>
      </c>
      <c r="M77" s="650" t="str">
        <f t="shared" si="46"/>
        <v/>
      </c>
      <c r="N77" s="804"/>
      <c r="O77" s="75"/>
      <c r="P77" s="12"/>
      <c r="R77" s="664"/>
      <c r="T77" s="196" t="str">
        <f t="shared" si="15"/>
        <v/>
      </c>
      <c r="U77" s="117" t="str">
        <f t="shared" si="47"/>
        <v/>
      </c>
      <c r="V77" s="118" t="str">
        <f t="shared" si="16"/>
        <v/>
      </c>
      <c r="W77" s="117" t="str">
        <f t="shared" si="16"/>
        <v/>
      </c>
      <c r="X77" s="96" t="str">
        <f t="shared" si="16"/>
        <v/>
      </c>
      <c r="Y77" s="392"/>
      <c r="Z77" s="392"/>
      <c r="AA77" s="392"/>
      <c r="AB77" s="96" t="str">
        <f t="shared" si="17"/>
        <v/>
      </c>
      <c r="AC77" s="119" t="str">
        <f t="shared" si="18"/>
        <v/>
      </c>
      <c r="AD77" s="118" t="str">
        <f t="shared" si="50"/>
        <v/>
      </c>
      <c r="AE77" s="198" t="str">
        <f t="shared" si="48"/>
        <v/>
      </c>
      <c r="AF77" s="116" t="str">
        <f t="shared" si="19"/>
        <v/>
      </c>
      <c r="AG77" s="117" t="str">
        <f>IF(D77="","",VLOOKUP(F77,'9. All Habitats + Multipliers'!$C$4:$K$102,5,FALSE))</f>
        <v/>
      </c>
      <c r="AH77" s="118" t="str">
        <f>IF(AG77="","",VLOOKUP(AG77,'11. Lists'!$S$47:$U$50,2,FALSE))</f>
        <v/>
      </c>
      <c r="AI77" s="116" t="str">
        <f t="shared" si="20"/>
        <v/>
      </c>
      <c r="AJ77" s="94" t="str">
        <f>IF(AI77="","",VLOOKUP(AI77,'11. Lists'!$F$47:$G$51,2,FALSE))</f>
        <v/>
      </c>
      <c r="AK77" s="392"/>
      <c r="AL77" s="392"/>
      <c r="AM77" s="392"/>
      <c r="AN77" s="95" t="str">
        <f t="shared" si="21"/>
        <v/>
      </c>
      <c r="AO77" s="120" t="str">
        <f>IF(AN77="","",VLOOKUP(AN77,'11. Lists'!$F$36:$H$38,2,FALSE))</f>
        <v/>
      </c>
      <c r="AP77" s="118"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2"/>
        <v/>
      </c>
      <c r="AZ77" s="227"/>
      <c r="BA77" s="94">
        <v>12</v>
      </c>
      <c r="BB77" s="96" t="str">
        <f t="shared" si="23"/>
        <v/>
      </c>
      <c r="BC77" s="96" t="str">
        <f t="shared" si="24"/>
        <v/>
      </c>
      <c r="BD77" s="96" t="str">
        <f t="shared" si="25"/>
        <v/>
      </c>
      <c r="BE77" s="96" t="str">
        <f t="shared" si="26"/>
        <v/>
      </c>
      <c r="BF77" s="96" t="str">
        <f t="shared" si="27"/>
        <v/>
      </c>
      <c r="BG77" s="96" t="str">
        <f t="shared" si="28"/>
        <v/>
      </c>
      <c r="BH77" s="96" t="str">
        <f t="shared" si="29"/>
        <v/>
      </c>
      <c r="BI77" s="96" t="str">
        <f t="shared" si="30"/>
        <v/>
      </c>
      <c r="BJ77" s="96" t="str">
        <f t="shared" si="31"/>
        <v/>
      </c>
      <c r="BK77" s="96" t="str">
        <f t="shared" si="32"/>
        <v/>
      </c>
      <c r="BL77" s="96" t="str">
        <f t="shared" si="33"/>
        <v/>
      </c>
      <c r="BM77" s="96" t="str">
        <f t="shared" si="34"/>
        <v/>
      </c>
      <c r="BN77" s="96" t="str">
        <f t="shared" si="35"/>
        <v/>
      </c>
      <c r="BO77" s="96" t="str">
        <f t="shared" si="36"/>
        <v/>
      </c>
      <c r="BP77" s="96" t="str">
        <f t="shared" si="37"/>
        <v/>
      </c>
      <c r="BQ77" s="96" t="str">
        <f t="shared" si="38"/>
        <v/>
      </c>
      <c r="BR77" s="96" t="str">
        <f t="shared" si="39"/>
        <v/>
      </c>
      <c r="BS77" s="96" t="str">
        <f t="shared" si="40"/>
        <v/>
      </c>
      <c r="BT77" s="96" t="str">
        <f t="shared" si="41"/>
        <v/>
      </c>
      <c r="BU77" s="95" t="str">
        <f t="shared" si="42"/>
        <v/>
      </c>
      <c r="BV77" s="205" t="str">
        <f t="shared" si="49"/>
        <v/>
      </c>
      <c r="BW77" s="96" t="s">
        <v>146</v>
      </c>
      <c r="BX77" s="96">
        <f>BM64</f>
        <v>0</v>
      </c>
    </row>
    <row r="78" spans="1:76" s="26" customFormat="1" ht="15.75" x14ac:dyDescent="0.25">
      <c r="B78" s="298">
        <v>13</v>
      </c>
      <c r="C78" s="122" t="str">
        <f t="shared" si="12"/>
        <v/>
      </c>
      <c r="D78" s="229" t="str">
        <f t="shared" si="43"/>
        <v/>
      </c>
      <c r="E78" s="176" t="str">
        <f t="shared" si="13"/>
        <v/>
      </c>
      <c r="F78" s="632"/>
      <c r="G78" s="633"/>
      <c r="H78" s="172" t="str">
        <f t="shared" si="14"/>
        <v/>
      </c>
      <c r="I78" s="366" t="str">
        <f t="shared" si="44"/>
        <v/>
      </c>
      <c r="J78" s="806" t="str">
        <f>IFERROR(IF(F78="","",VLOOKUP(F78,'10. Condition and Temporal'!$B$6:$F$103,5,FALSE)), "Error ▲")</f>
        <v/>
      </c>
      <c r="K78" s="807"/>
      <c r="L78" s="317" t="str">
        <f>IFERROR(IF(D78="","",IF(AX78="Distinctiveness",(((((I78*AH78*AJ78)-(I78*V78*X78))*(AV78*AT78))+(I78*V78*X78))*AP78/1000),((((I78*AH78*AJ78)-(I78*V78*X78))*(AV78*AR78))+(I78*V78*X78))*AP78/1000)),"This intervention is not permitted within the SSM ▲")</f>
        <v/>
      </c>
      <c r="M78" s="650" t="str">
        <f t="shared" si="46"/>
        <v/>
      </c>
      <c r="N78" s="804"/>
      <c r="O78" s="75"/>
      <c r="P78" s="12"/>
      <c r="R78" s="664"/>
      <c r="T78" s="196" t="str">
        <f t="shared" si="15"/>
        <v/>
      </c>
      <c r="U78" s="117" t="str">
        <f t="shared" si="47"/>
        <v/>
      </c>
      <c r="V78" s="118" t="str">
        <f t="shared" si="16"/>
        <v/>
      </c>
      <c r="W78" s="117" t="str">
        <f t="shared" si="16"/>
        <v/>
      </c>
      <c r="X78" s="96" t="str">
        <f t="shared" si="16"/>
        <v/>
      </c>
      <c r="Y78" s="392"/>
      <c r="Z78" s="392"/>
      <c r="AA78" s="392"/>
      <c r="AB78" s="96" t="str">
        <f t="shared" si="17"/>
        <v/>
      </c>
      <c r="AC78" s="119" t="str">
        <f t="shared" si="18"/>
        <v/>
      </c>
      <c r="AD78" s="118" t="str">
        <f t="shared" si="50"/>
        <v/>
      </c>
      <c r="AE78" s="198" t="str">
        <f t="shared" si="48"/>
        <v/>
      </c>
      <c r="AF78" s="116" t="str">
        <f t="shared" si="19"/>
        <v/>
      </c>
      <c r="AG78" s="117" t="str">
        <f>IF(D78="","",VLOOKUP(F78,'9. All Habitats + Multipliers'!$C$4:$K$102,5,FALSE))</f>
        <v/>
      </c>
      <c r="AH78" s="118" t="str">
        <f>IF(AG78="","",VLOOKUP(AG78,'11. Lists'!$S$47:$U$50,2,FALSE))</f>
        <v/>
      </c>
      <c r="AI78" s="116" t="str">
        <f t="shared" si="20"/>
        <v/>
      </c>
      <c r="AJ78" s="94" t="str">
        <f>IF(AI78="","",VLOOKUP(AI78,'11. Lists'!$F$47:$G$51,2,FALSE))</f>
        <v/>
      </c>
      <c r="AK78" s="392"/>
      <c r="AL78" s="392"/>
      <c r="AM78" s="392"/>
      <c r="AN78" s="95" t="str">
        <f t="shared" si="21"/>
        <v/>
      </c>
      <c r="AO78" s="120" t="str">
        <f>IF(AN78="","",VLOOKUP(AN78,'11. Lists'!$F$36:$H$38,2,FALSE))</f>
        <v/>
      </c>
      <c r="AP78" s="118"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2"/>
        <v/>
      </c>
      <c r="AZ78" s="227"/>
      <c r="BA78" s="94">
        <v>13</v>
      </c>
      <c r="BB78" s="96" t="str">
        <f t="shared" si="23"/>
        <v/>
      </c>
      <c r="BC78" s="96" t="str">
        <f t="shared" si="24"/>
        <v/>
      </c>
      <c r="BD78" s="96" t="str">
        <f t="shared" si="25"/>
        <v/>
      </c>
      <c r="BE78" s="96" t="str">
        <f t="shared" si="26"/>
        <v/>
      </c>
      <c r="BF78" s="96" t="str">
        <f t="shared" si="27"/>
        <v/>
      </c>
      <c r="BG78" s="96" t="str">
        <f t="shared" si="28"/>
        <v/>
      </c>
      <c r="BH78" s="96" t="str">
        <f t="shared" si="29"/>
        <v/>
      </c>
      <c r="BI78" s="96" t="str">
        <f t="shared" si="30"/>
        <v/>
      </c>
      <c r="BJ78" s="96" t="str">
        <f t="shared" si="31"/>
        <v/>
      </c>
      <c r="BK78" s="96" t="str">
        <f t="shared" si="32"/>
        <v/>
      </c>
      <c r="BL78" s="96" t="str">
        <f t="shared" si="33"/>
        <v/>
      </c>
      <c r="BM78" s="96" t="str">
        <f t="shared" si="34"/>
        <v/>
      </c>
      <c r="BN78" s="96" t="str">
        <f t="shared" si="35"/>
        <v/>
      </c>
      <c r="BO78" s="96" t="str">
        <f t="shared" si="36"/>
        <v/>
      </c>
      <c r="BP78" s="96" t="str">
        <f t="shared" si="37"/>
        <v/>
      </c>
      <c r="BQ78" s="96" t="str">
        <f t="shared" si="38"/>
        <v/>
      </c>
      <c r="BR78" s="96" t="str">
        <f t="shared" si="39"/>
        <v/>
      </c>
      <c r="BS78" s="96" t="str">
        <f t="shared" si="40"/>
        <v/>
      </c>
      <c r="BT78" s="96" t="str">
        <f t="shared" si="41"/>
        <v/>
      </c>
      <c r="BU78" s="95" t="str">
        <f t="shared" si="42"/>
        <v/>
      </c>
      <c r="BV78" s="205" t="str">
        <f t="shared" si="49"/>
        <v/>
      </c>
      <c r="BW78" s="96" t="s">
        <v>147</v>
      </c>
      <c r="BX78" s="96">
        <f>BN64</f>
        <v>0</v>
      </c>
    </row>
    <row r="79" spans="1:76" s="26" customFormat="1" ht="15.75" x14ac:dyDescent="0.25">
      <c r="B79" s="298">
        <v>14</v>
      </c>
      <c r="C79" s="122" t="str">
        <f t="shared" si="12"/>
        <v/>
      </c>
      <c r="D79" s="229" t="str">
        <f t="shared" si="43"/>
        <v/>
      </c>
      <c r="E79" s="176" t="str">
        <f t="shared" si="13"/>
        <v/>
      </c>
      <c r="F79" s="632"/>
      <c r="G79" s="633"/>
      <c r="H79" s="172" t="str">
        <f t="shared" si="14"/>
        <v/>
      </c>
      <c r="I79" s="366" t="str">
        <f t="shared" si="44"/>
        <v/>
      </c>
      <c r="J79" s="806" t="str">
        <f>IFERROR(IF(F79="","",VLOOKUP(F79,'10. Condition and Temporal'!$B$6:$F$103,5,FALSE)), "Error ▲")</f>
        <v/>
      </c>
      <c r="K79" s="807"/>
      <c r="L79" s="317" t="str">
        <f t="shared" si="45"/>
        <v/>
      </c>
      <c r="M79" s="650" t="str">
        <f t="shared" si="46"/>
        <v/>
      </c>
      <c r="N79" s="804"/>
      <c r="O79" s="75"/>
      <c r="P79" s="12"/>
      <c r="R79" s="664"/>
      <c r="T79" s="196" t="str">
        <f t="shared" si="15"/>
        <v/>
      </c>
      <c r="U79" s="117" t="str">
        <f t="shared" si="47"/>
        <v/>
      </c>
      <c r="V79" s="118" t="str">
        <f t="shared" si="16"/>
        <v/>
      </c>
      <c r="W79" s="117" t="str">
        <f t="shared" si="16"/>
        <v/>
      </c>
      <c r="X79" s="96" t="str">
        <f t="shared" si="16"/>
        <v/>
      </c>
      <c r="Y79" s="392"/>
      <c r="Z79" s="392"/>
      <c r="AA79" s="392"/>
      <c r="AB79" s="96" t="str">
        <f t="shared" si="17"/>
        <v/>
      </c>
      <c r="AC79" s="119" t="str">
        <f t="shared" si="18"/>
        <v/>
      </c>
      <c r="AD79" s="118" t="str">
        <f t="shared" si="50"/>
        <v/>
      </c>
      <c r="AE79" s="198" t="str">
        <f t="shared" si="48"/>
        <v/>
      </c>
      <c r="AF79" s="116" t="str">
        <f t="shared" si="19"/>
        <v/>
      </c>
      <c r="AG79" s="117" t="str">
        <f>IF(D79="","",VLOOKUP(F79,'9. All Habitats + Multipliers'!$C$4:$K$102,5,FALSE))</f>
        <v/>
      </c>
      <c r="AH79" s="118" t="str">
        <f>IF(AG79="","",VLOOKUP(AG79,'11. Lists'!$S$47:$U$50,2,FALSE))</f>
        <v/>
      </c>
      <c r="AI79" s="116" t="str">
        <f t="shared" si="20"/>
        <v/>
      </c>
      <c r="AJ79" s="94" t="str">
        <f>IF(AI79="","",VLOOKUP(AI79,'11. Lists'!$F$47:$G$51,2,FALSE))</f>
        <v/>
      </c>
      <c r="AK79" s="392"/>
      <c r="AL79" s="392"/>
      <c r="AM79" s="392"/>
      <c r="AN79" s="95" t="str">
        <f t="shared" si="21"/>
        <v/>
      </c>
      <c r="AO79" s="120" t="str">
        <f>IF(AN79="","",VLOOKUP(AN79,'11. Lists'!$F$36:$H$38,2,FALSE))</f>
        <v/>
      </c>
      <c r="AP79" s="118"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2"/>
        <v/>
      </c>
      <c r="AZ79" s="227"/>
      <c r="BA79" s="94">
        <v>14</v>
      </c>
      <c r="BB79" s="96" t="str">
        <f t="shared" si="23"/>
        <v/>
      </c>
      <c r="BC79" s="96" t="str">
        <f t="shared" si="24"/>
        <v/>
      </c>
      <c r="BD79" s="96" t="str">
        <f t="shared" si="25"/>
        <v/>
      </c>
      <c r="BE79" s="96" t="str">
        <f t="shared" si="26"/>
        <v/>
      </c>
      <c r="BF79" s="96" t="str">
        <f t="shared" si="27"/>
        <v/>
      </c>
      <c r="BG79" s="96" t="str">
        <f t="shared" si="28"/>
        <v/>
      </c>
      <c r="BH79" s="96" t="str">
        <f t="shared" si="29"/>
        <v/>
      </c>
      <c r="BI79" s="96" t="str">
        <f t="shared" si="30"/>
        <v/>
      </c>
      <c r="BJ79" s="96" t="str">
        <f t="shared" si="31"/>
        <v/>
      </c>
      <c r="BK79" s="96" t="str">
        <f t="shared" si="32"/>
        <v/>
      </c>
      <c r="BL79" s="96" t="str">
        <f t="shared" si="33"/>
        <v/>
      </c>
      <c r="BM79" s="96" t="str">
        <f t="shared" si="34"/>
        <v/>
      </c>
      <c r="BN79" s="96" t="str">
        <f t="shared" si="35"/>
        <v/>
      </c>
      <c r="BO79" s="96" t="str">
        <f t="shared" si="36"/>
        <v/>
      </c>
      <c r="BP79" s="96" t="str">
        <f t="shared" si="37"/>
        <v/>
      </c>
      <c r="BQ79" s="96" t="str">
        <f t="shared" si="38"/>
        <v/>
      </c>
      <c r="BR79" s="96" t="str">
        <f t="shared" si="39"/>
        <v/>
      </c>
      <c r="BS79" s="96" t="str">
        <f t="shared" si="40"/>
        <v/>
      </c>
      <c r="BT79" s="96" t="str">
        <f t="shared" si="41"/>
        <v/>
      </c>
      <c r="BU79" s="95" t="str">
        <f t="shared" si="42"/>
        <v/>
      </c>
      <c r="BV79" s="205" t="str">
        <f t="shared" si="49"/>
        <v/>
      </c>
      <c r="BW79" s="96" t="s">
        <v>148</v>
      </c>
      <c r="BX79" s="96">
        <f>BO64</f>
        <v>0</v>
      </c>
    </row>
    <row r="80" spans="1:76" s="26" customFormat="1" ht="15.75" x14ac:dyDescent="0.25">
      <c r="B80" s="298">
        <v>15</v>
      </c>
      <c r="C80" s="122" t="str">
        <f t="shared" si="12"/>
        <v/>
      </c>
      <c r="D80" s="229" t="str">
        <f t="shared" si="43"/>
        <v/>
      </c>
      <c r="E80" s="176" t="str">
        <f t="shared" si="13"/>
        <v/>
      </c>
      <c r="F80" s="632"/>
      <c r="G80" s="633"/>
      <c r="H80" s="172" t="str">
        <f t="shared" si="14"/>
        <v/>
      </c>
      <c r="I80" s="366" t="str">
        <f t="shared" si="44"/>
        <v/>
      </c>
      <c r="J80" s="806" t="str">
        <f>IFERROR(IF(F80="","",VLOOKUP(F80,'10. Condition and Temporal'!$B$6:$F$103,5,FALSE)), "Error ▲")</f>
        <v/>
      </c>
      <c r="K80" s="807"/>
      <c r="L80" s="317" t="str">
        <f t="shared" si="45"/>
        <v/>
      </c>
      <c r="M80" s="650" t="str">
        <f t="shared" si="46"/>
        <v/>
      </c>
      <c r="N80" s="804"/>
      <c r="O80" s="75"/>
      <c r="P80" s="12"/>
      <c r="R80" s="664"/>
      <c r="T80" s="196" t="str">
        <f t="shared" si="15"/>
        <v/>
      </c>
      <c r="U80" s="117" t="str">
        <f t="shared" si="47"/>
        <v/>
      </c>
      <c r="V80" s="118" t="str">
        <f t="shared" si="16"/>
        <v/>
      </c>
      <c r="W80" s="117" t="str">
        <f t="shared" si="16"/>
        <v/>
      </c>
      <c r="X80" s="96" t="str">
        <f t="shared" si="16"/>
        <v/>
      </c>
      <c r="Y80" s="392"/>
      <c r="Z80" s="392"/>
      <c r="AA80" s="392"/>
      <c r="AB80" s="96" t="str">
        <f t="shared" si="17"/>
        <v/>
      </c>
      <c r="AC80" s="119" t="str">
        <f t="shared" si="18"/>
        <v/>
      </c>
      <c r="AD80" s="118" t="str">
        <f t="shared" si="50"/>
        <v/>
      </c>
      <c r="AE80" s="198" t="str">
        <f t="shared" si="48"/>
        <v/>
      </c>
      <c r="AF80" s="116" t="str">
        <f t="shared" si="19"/>
        <v/>
      </c>
      <c r="AG80" s="117" t="str">
        <f>IF(D80="","",VLOOKUP(F80,'9. All Habitats + Multipliers'!$C$4:$K$102,5,FALSE))</f>
        <v/>
      </c>
      <c r="AH80" s="118" t="str">
        <f>IF(AG80="","",VLOOKUP(AG80,'11. Lists'!$S$47:$U$50,2,FALSE))</f>
        <v/>
      </c>
      <c r="AI80" s="116" t="str">
        <f t="shared" si="20"/>
        <v/>
      </c>
      <c r="AJ80" s="94" t="str">
        <f>IF(AI80="","",VLOOKUP(AI80,'11. Lists'!$F$47:$G$51,2,FALSE))</f>
        <v/>
      </c>
      <c r="AK80" s="392"/>
      <c r="AL80" s="392"/>
      <c r="AM80" s="392"/>
      <c r="AN80" s="95" t="str">
        <f t="shared" si="21"/>
        <v/>
      </c>
      <c r="AO80" s="120" t="str">
        <f>IF(AN80="","",VLOOKUP(AN80,'11. Lists'!$F$36:$H$38,2,FALSE))</f>
        <v/>
      </c>
      <c r="AP80" s="118"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2"/>
        <v/>
      </c>
      <c r="AZ80" s="227"/>
      <c r="BA80" s="94">
        <v>15</v>
      </c>
      <c r="BB80" s="96" t="str">
        <f t="shared" si="23"/>
        <v/>
      </c>
      <c r="BC80" s="96" t="str">
        <f t="shared" si="24"/>
        <v/>
      </c>
      <c r="BD80" s="96" t="str">
        <f t="shared" si="25"/>
        <v/>
      </c>
      <c r="BE80" s="96" t="str">
        <f t="shared" si="26"/>
        <v/>
      </c>
      <c r="BF80" s="96" t="str">
        <f t="shared" si="27"/>
        <v/>
      </c>
      <c r="BG80" s="96" t="str">
        <f t="shared" si="28"/>
        <v/>
      </c>
      <c r="BH80" s="96" t="str">
        <f t="shared" si="29"/>
        <v/>
      </c>
      <c r="BI80" s="96" t="str">
        <f t="shared" si="30"/>
        <v/>
      </c>
      <c r="BJ80" s="96" t="str">
        <f t="shared" si="31"/>
        <v/>
      </c>
      <c r="BK80" s="96" t="str">
        <f t="shared" si="32"/>
        <v/>
      </c>
      <c r="BL80" s="96" t="str">
        <f t="shared" si="33"/>
        <v/>
      </c>
      <c r="BM80" s="96" t="str">
        <f t="shared" si="34"/>
        <v/>
      </c>
      <c r="BN80" s="96" t="str">
        <f t="shared" si="35"/>
        <v/>
      </c>
      <c r="BO80" s="96" t="str">
        <f t="shared" si="36"/>
        <v/>
      </c>
      <c r="BP80" s="96" t="str">
        <f t="shared" si="37"/>
        <v/>
      </c>
      <c r="BQ80" s="96" t="str">
        <f t="shared" si="38"/>
        <v/>
      </c>
      <c r="BR80" s="96" t="str">
        <f t="shared" si="39"/>
        <v/>
      </c>
      <c r="BS80" s="96" t="str">
        <f t="shared" si="40"/>
        <v/>
      </c>
      <c r="BT80" s="96" t="str">
        <f t="shared" si="41"/>
        <v/>
      </c>
      <c r="BU80" s="95" t="str">
        <f t="shared" si="42"/>
        <v/>
      </c>
      <c r="BV80" s="205" t="str">
        <f t="shared" si="49"/>
        <v/>
      </c>
      <c r="BW80" s="96" t="s">
        <v>149</v>
      </c>
      <c r="BX80" s="96">
        <f>BP64</f>
        <v>0</v>
      </c>
    </row>
    <row r="81" spans="1:76" s="26" customFormat="1" ht="15.75" x14ac:dyDescent="0.25">
      <c r="B81" s="298">
        <v>16</v>
      </c>
      <c r="C81" s="122" t="str">
        <f t="shared" si="12"/>
        <v/>
      </c>
      <c r="D81" s="229" t="str">
        <f t="shared" si="43"/>
        <v/>
      </c>
      <c r="E81" s="176" t="str">
        <f t="shared" si="13"/>
        <v/>
      </c>
      <c r="F81" s="632"/>
      <c r="G81" s="633"/>
      <c r="H81" s="172" t="str">
        <f t="shared" si="14"/>
        <v/>
      </c>
      <c r="I81" s="366" t="str">
        <f t="shared" si="44"/>
        <v/>
      </c>
      <c r="J81" s="806" t="str">
        <f>IFERROR(IF(F81="","",VLOOKUP(F81,'10. Condition and Temporal'!$B$6:$F$103,5,FALSE)), "Error ▲")</f>
        <v/>
      </c>
      <c r="K81" s="807"/>
      <c r="L81" s="317" t="str">
        <f t="shared" si="45"/>
        <v/>
      </c>
      <c r="M81" s="650" t="str">
        <f t="shared" si="46"/>
        <v/>
      </c>
      <c r="N81" s="804"/>
      <c r="O81" s="75"/>
      <c r="P81" s="12"/>
      <c r="R81" s="664"/>
      <c r="T81" s="196" t="str">
        <f t="shared" si="15"/>
        <v/>
      </c>
      <c r="U81" s="117" t="str">
        <f t="shared" si="47"/>
        <v/>
      </c>
      <c r="V81" s="118" t="str">
        <f t="shared" si="16"/>
        <v/>
      </c>
      <c r="W81" s="117" t="str">
        <f t="shared" si="16"/>
        <v/>
      </c>
      <c r="X81" s="96" t="str">
        <f t="shared" si="16"/>
        <v/>
      </c>
      <c r="Y81" s="392"/>
      <c r="Z81" s="392"/>
      <c r="AA81" s="392"/>
      <c r="AB81" s="96" t="str">
        <f t="shared" si="17"/>
        <v/>
      </c>
      <c r="AC81" s="119" t="str">
        <f t="shared" si="18"/>
        <v/>
      </c>
      <c r="AD81" s="118" t="str">
        <f t="shared" si="50"/>
        <v/>
      </c>
      <c r="AE81" s="198" t="str">
        <f t="shared" si="48"/>
        <v/>
      </c>
      <c r="AF81" s="116" t="str">
        <f t="shared" si="19"/>
        <v/>
      </c>
      <c r="AG81" s="117" t="str">
        <f>IF(D81="","",VLOOKUP(F81,'9. All Habitats + Multipliers'!$C$4:$K$102,5,FALSE))</f>
        <v/>
      </c>
      <c r="AH81" s="118" t="str">
        <f>IF(AG81="","",VLOOKUP(AG81,'11. Lists'!$S$47:$U$50,2,FALSE))</f>
        <v/>
      </c>
      <c r="AI81" s="116" t="str">
        <f t="shared" si="20"/>
        <v/>
      </c>
      <c r="AJ81" s="94" t="str">
        <f>IF(AI81="","",VLOOKUP(AI81,'11. Lists'!$F$47:$G$51,2,FALSE))</f>
        <v/>
      </c>
      <c r="AK81" s="392"/>
      <c r="AL81" s="392"/>
      <c r="AM81" s="392"/>
      <c r="AN81" s="95" t="str">
        <f t="shared" si="21"/>
        <v/>
      </c>
      <c r="AO81" s="120" t="str">
        <f>IF(AN81="","",VLOOKUP(AN81,'11. Lists'!$F$36:$H$38,2,FALSE))</f>
        <v/>
      </c>
      <c r="AP81" s="118"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2"/>
        <v/>
      </c>
      <c r="AZ81" s="227"/>
      <c r="BA81" s="94">
        <v>16</v>
      </c>
      <c r="BB81" s="96" t="str">
        <f t="shared" si="23"/>
        <v/>
      </c>
      <c r="BC81" s="96" t="str">
        <f t="shared" si="24"/>
        <v/>
      </c>
      <c r="BD81" s="96" t="str">
        <f t="shared" si="25"/>
        <v/>
      </c>
      <c r="BE81" s="96" t="str">
        <f t="shared" si="26"/>
        <v/>
      </c>
      <c r="BF81" s="96" t="str">
        <f t="shared" si="27"/>
        <v/>
      </c>
      <c r="BG81" s="96" t="str">
        <f t="shared" si="28"/>
        <v/>
      </c>
      <c r="BH81" s="96" t="str">
        <f t="shared" si="29"/>
        <v/>
      </c>
      <c r="BI81" s="96" t="str">
        <f t="shared" si="30"/>
        <v/>
      </c>
      <c r="BJ81" s="96" t="str">
        <f t="shared" si="31"/>
        <v/>
      </c>
      <c r="BK81" s="96" t="str">
        <f t="shared" si="32"/>
        <v/>
      </c>
      <c r="BL81" s="96" t="str">
        <f t="shared" si="33"/>
        <v/>
      </c>
      <c r="BM81" s="96" t="str">
        <f t="shared" si="34"/>
        <v/>
      </c>
      <c r="BN81" s="96" t="str">
        <f t="shared" si="35"/>
        <v/>
      </c>
      <c r="BO81" s="96" t="str">
        <f t="shared" si="36"/>
        <v/>
      </c>
      <c r="BP81" s="96" t="str">
        <f t="shared" si="37"/>
        <v/>
      </c>
      <c r="BQ81" s="96" t="str">
        <f t="shared" si="38"/>
        <v/>
      </c>
      <c r="BR81" s="96" t="str">
        <f t="shared" si="39"/>
        <v/>
      </c>
      <c r="BS81" s="96" t="str">
        <f t="shared" si="40"/>
        <v/>
      </c>
      <c r="BT81" s="96" t="str">
        <f t="shared" si="41"/>
        <v/>
      </c>
      <c r="BU81" s="95" t="str">
        <f t="shared" si="42"/>
        <v/>
      </c>
      <c r="BV81" s="205" t="str">
        <f t="shared" si="49"/>
        <v/>
      </c>
      <c r="BW81" s="96" t="s">
        <v>150</v>
      </c>
      <c r="BX81" s="96">
        <f>BQ64</f>
        <v>0</v>
      </c>
    </row>
    <row r="82" spans="1:76" s="26" customFormat="1" ht="15.75" x14ac:dyDescent="0.25">
      <c r="B82" s="298">
        <v>17</v>
      </c>
      <c r="C82" s="122" t="str">
        <f t="shared" si="12"/>
        <v/>
      </c>
      <c r="D82" s="229" t="str">
        <f t="shared" si="43"/>
        <v/>
      </c>
      <c r="E82" s="176" t="str">
        <f t="shared" si="13"/>
        <v/>
      </c>
      <c r="F82" s="632"/>
      <c r="G82" s="633"/>
      <c r="H82" s="172" t="str">
        <f t="shared" si="14"/>
        <v/>
      </c>
      <c r="I82" s="366" t="str">
        <f t="shared" si="44"/>
        <v/>
      </c>
      <c r="J82" s="806" t="str">
        <f>IFERROR(IF(F82="","",VLOOKUP(F82,'10. Condition and Temporal'!$B$6:$F$103,5,FALSE)), "Error ▲")</f>
        <v/>
      </c>
      <c r="K82" s="807"/>
      <c r="L82" s="317" t="str">
        <f t="shared" si="45"/>
        <v/>
      </c>
      <c r="M82" s="650" t="str">
        <f t="shared" si="46"/>
        <v/>
      </c>
      <c r="N82" s="804"/>
      <c r="O82" s="75"/>
      <c r="P82" s="12"/>
      <c r="R82" s="664"/>
      <c r="T82" s="196" t="str">
        <f t="shared" si="15"/>
        <v/>
      </c>
      <c r="U82" s="117" t="str">
        <f t="shared" si="47"/>
        <v/>
      </c>
      <c r="V82" s="118" t="str">
        <f t="shared" si="16"/>
        <v/>
      </c>
      <c r="W82" s="117" t="str">
        <f t="shared" si="16"/>
        <v/>
      </c>
      <c r="X82" s="96" t="str">
        <f t="shared" si="16"/>
        <v/>
      </c>
      <c r="Y82" s="392"/>
      <c r="Z82" s="392"/>
      <c r="AA82" s="392"/>
      <c r="AB82" s="96" t="str">
        <f t="shared" si="17"/>
        <v/>
      </c>
      <c r="AC82" s="119" t="str">
        <f t="shared" si="18"/>
        <v/>
      </c>
      <c r="AD82" s="118" t="str">
        <f t="shared" si="50"/>
        <v/>
      </c>
      <c r="AE82" s="198" t="str">
        <f t="shared" si="48"/>
        <v/>
      </c>
      <c r="AF82" s="116" t="str">
        <f t="shared" si="19"/>
        <v/>
      </c>
      <c r="AG82" s="117" t="str">
        <f>IF(D82="","",VLOOKUP(F82,'9. All Habitats + Multipliers'!$C$4:$K$102,5,FALSE))</f>
        <v/>
      </c>
      <c r="AH82" s="118" t="str">
        <f>IF(AG82="","",VLOOKUP(AG82,'11. Lists'!$S$47:$U$50,2,FALSE))</f>
        <v/>
      </c>
      <c r="AI82" s="116" t="str">
        <f t="shared" si="20"/>
        <v/>
      </c>
      <c r="AJ82" s="94" t="str">
        <f>IF(AI82="","",VLOOKUP(AI82,'11. Lists'!$F$47:$G$51,2,FALSE))</f>
        <v/>
      </c>
      <c r="AK82" s="392"/>
      <c r="AL82" s="392"/>
      <c r="AM82" s="392"/>
      <c r="AN82" s="95" t="str">
        <f t="shared" si="21"/>
        <v/>
      </c>
      <c r="AO82" s="120" t="str">
        <f>IF(AN82="","",VLOOKUP(AN82,'11. Lists'!$F$36:$H$38,2,FALSE))</f>
        <v/>
      </c>
      <c r="AP82" s="118"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2"/>
        <v/>
      </c>
      <c r="AZ82" s="227"/>
      <c r="BA82" s="94">
        <v>17</v>
      </c>
      <c r="BB82" s="96" t="str">
        <f t="shared" si="23"/>
        <v/>
      </c>
      <c r="BC82" s="96" t="str">
        <f t="shared" si="24"/>
        <v/>
      </c>
      <c r="BD82" s="96" t="str">
        <f t="shared" si="25"/>
        <v/>
      </c>
      <c r="BE82" s="96" t="str">
        <f t="shared" si="26"/>
        <v/>
      </c>
      <c r="BF82" s="96" t="str">
        <f t="shared" si="27"/>
        <v/>
      </c>
      <c r="BG82" s="96" t="str">
        <f t="shared" si="28"/>
        <v/>
      </c>
      <c r="BH82" s="96" t="str">
        <f t="shared" si="29"/>
        <v/>
      </c>
      <c r="BI82" s="96" t="str">
        <f t="shared" si="30"/>
        <v/>
      </c>
      <c r="BJ82" s="96" t="str">
        <f t="shared" si="31"/>
        <v/>
      </c>
      <c r="BK82" s="96" t="str">
        <f t="shared" si="32"/>
        <v/>
      </c>
      <c r="BL82" s="96" t="str">
        <f t="shared" si="33"/>
        <v/>
      </c>
      <c r="BM82" s="96" t="str">
        <f t="shared" si="34"/>
        <v/>
      </c>
      <c r="BN82" s="96" t="str">
        <f t="shared" si="35"/>
        <v/>
      </c>
      <c r="BO82" s="96" t="str">
        <f t="shared" si="36"/>
        <v/>
      </c>
      <c r="BP82" s="96" t="str">
        <f t="shared" si="37"/>
        <v/>
      </c>
      <c r="BQ82" s="96" t="str">
        <f t="shared" si="38"/>
        <v/>
      </c>
      <c r="BR82" s="96" t="str">
        <f t="shared" si="39"/>
        <v/>
      </c>
      <c r="BS82" s="96" t="str">
        <f t="shared" si="40"/>
        <v/>
      </c>
      <c r="BT82" s="96" t="str">
        <f t="shared" si="41"/>
        <v/>
      </c>
      <c r="BU82" s="95" t="str">
        <f t="shared" si="42"/>
        <v/>
      </c>
      <c r="BV82" s="205" t="str">
        <f t="shared" si="49"/>
        <v/>
      </c>
      <c r="BW82" s="96" t="s">
        <v>151</v>
      </c>
      <c r="BX82" s="96">
        <f>BR64</f>
        <v>0</v>
      </c>
    </row>
    <row r="83" spans="1:76" s="26" customFormat="1" ht="15.75" x14ac:dyDescent="0.25">
      <c r="B83" s="298">
        <v>18</v>
      </c>
      <c r="C83" s="122" t="str">
        <f t="shared" si="12"/>
        <v/>
      </c>
      <c r="D83" s="229" t="str">
        <f t="shared" si="43"/>
        <v/>
      </c>
      <c r="E83" s="176" t="str">
        <f t="shared" si="13"/>
        <v/>
      </c>
      <c r="F83" s="632"/>
      <c r="G83" s="633"/>
      <c r="H83" s="172" t="str">
        <f t="shared" si="14"/>
        <v/>
      </c>
      <c r="I83" s="366" t="str">
        <f t="shared" si="44"/>
        <v/>
      </c>
      <c r="J83" s="806" t="str">
        <f>IFERROR(IF(F83="","",VLOOKUP(F83,'10. Condition and Temporal'!$B$6:$F$103,5,FALSE)), "Error ▲")</f>
        <v/>
      </c>
      <c r="K83" s="807"/>
      <c r="L83" s="317" t="str">
        <f t="shared" si="45"/>
        <v/>
      </c>
      <c r="M83" s="650" t="str">
        <f t="shared" si="46"/>
        <v/>
      </c>
      <c r="N83" s="804"/>
      <c r="O83" s="75"/>
      <c r="P83" s="12"/>
      <c r="R83" s="664"/>
      <c r="T83" s="196" t="str">
        <f t="shared" si="15"/>
        <v/>
      </c>
      <c r="U83" s="117" t="str">
        <f t="shared" si="47"/>
        <v/>
      </c>
      <c r="V83" s="118" t="str">
        <f t="shared" si="16"/>
        <v/>
      </c>
      <c r="W83" s="117" t="str">
        <f t="shared" si="16"/>
        <v/>
      </c>
      <c r="X83" s="96" t="str">
        <f t="shared" si="16"/>
        <v/>
      </c>
      <c r="Y83" s="392"/>
      <c r="Z83" s="392"/>
      <c r="AA83" s="392"/>
      <c r="AB83" s="96" t="str">
        <f t="shared" si="17"/>
        <v/>
      </c>
      <c r="AC83" s="119" t="str">
        <f t="shared" si="18"/>
        <v/>
      </c>
      <c r="AD83" s="118" t="str">
        <f t="shared" si="50"/>
        <v/>
      </c>
      <c r="AE83" s="198" t="str">
        <f t="shared" si="48"/>
        <v/>
      </c>
      <c r="AF83" s="116" t="str">
        <f t="shared" si="19"/>
        <v/>
      </c>
      <c r="AG83" s="117" t="str">
        <f>IF(D83="","",VLOOKUP(F83,'9. All Habitats + Multipliers'!$C$4:$K$102,5,FALSE))</f>
        <v/>
      </c>
      <c r="AH83" s="118" t="str">
        <f>IF(AG83="","",VLOOKUP(AG83,'11. Lists'!$S$47:$U$50,2,FALSE))</f>
        <v/>
      </c>
      <c r="AI83" s="116" t="str">
        <f t="shared" si="20"/>
        <v/>
      </c>
      <c r="AJ83" s="94" t="str">
        <f>IF(AI83="","",VLOOKUP(AI83,'11. Lists'!$F$47:$G$51,2,FALSE))</f>
        <v/>
      </c>
      <c r="AK83" s="392"/>
      <c r="AL83" s="392"/>
      <c r="AM83" s="392"/>
      <c r="AN83" s="95" t="str">
        <f t="shared" si="21"/>
        <v/>
      </c>
      <c r="AO83" s="120" t="str">
        <f>IF(AN83="","",VLOOKUP(AN83,'11. Lists'!$F$36:$H$38,2,FALSE))</f>
        <v/>
      </c>
      <c r="AP83" s="118"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2"/>
        <v/>
      </c>
      <c r="AZ83" s="227"/>
      <c r="BA83" s="94">
        <v>18</v>
      </c>
      <c r="BB83" s="96" t="str">
        <f t="shared" si="23"/>
        <v/>
      </c>
      <c r="BC83" s="96" t="str">
        <f t="shared" si="24"/>
        <v/>
      </c>
      <c r="BD83" s="96" t="str">
        <f t="shared" si="25"/>
        <v/>
      </c>
      <c r="BE83" s="96" t="str">
        <f t="shared" si="26"/>
        <v/>
      </c>
      <c r="BF83" s="96" t="str">
        <f t="shared" si="27"/>
        <v/>
      </c>
      <c r="BG83" s="96" t="str">
        <f t="shared" si="28"/>
        <v/>
      </c>
      <c r="BH83" s="96" t="str">
        <f t="shared" si="29"/>
        <v/>
      </c>
      <c r="BI83" s="96" t="str">
        <f t="shared" si="30"/>
        <v/>
      </c>
      <c r="BJ83" s="96" t="str">
        <f t="shared" si="31"/>
        <v/>
      </c>
      <c r="BK83" s="96" t="str">
        <f t="shared" si="32"/>
        <v/>
      </c>
      <c r="BL83" s="96" t="str">
        <f t="shared" si="33"/>
        <v/>
      </c>
      <c r="BM83" s="96" t="str">
        <f t="shared" si="34"/>
        <v/>
      </c>
      <c r="BN83" s="96" t="str">
        <f t="shared" si="35"/>
        <v/>
      </c>
      <c r="BO83" s="96" t="str">
        <f t="shared" si="36"/>
        <v/>
      </c>
      <c r="BP83" s="96" t="str">
        <f t="shared" si="37"/>
        <v/>
      </c>
      <c r="BQ83" s="96" t="str">
        <f t="shared" si="38"/>
        <v/>
      </c>
      <c r="BR83" s="96" t="str">
        <f t="shared" si="39"/>
        <v/>
      </c>
      <c r="BS83" s="96" t="str">
        <f t="shared" si="40"/>
        <v/>
      </c>
      <c r="BT83" s="96" t="str">
        <f t="shared" si="41"/>
        <v/>
      </c>
      <c r="BU83" s="95" t="str">
        <f t="shared" si="42"/>
        <v/>
      </c>
      <c r="BV83" s="205" t="str">
        <f t="shared" si="49"/>
        <v/>
      </c>
      <c r="BW83" s="96" t="s">
        <v>152</v>
      </c>
      <c r="BX83" s="96">
        <f>BS64</f>
        <v>0</v>
      </c>
    </row>
    <row r="84" spans="1:76" s="26" customFormat="1" ht="15.75" x14ac:dyDescent="0.25">
      <c r="B84" s="298">
        <v>19</v>
      </c>
      <c r="C84" s="122" t="str">
        <f t="shared" si="12"/>
        <v/>
      </c>
      <c r="D84" s="229" t="str">
        <f t="shared" si="43"/>
        <v/>
      </c>
      <c r="E84" s="176" t="str">
        <f t="shared" si="13"/>
        <v/>
      </c>
      <c r="F84" s="632"/>
      <c r="G84" s="633"/>
      <c r="H84" s="172" t="str">
        <f t="shared" si="14"/>
        <v/>
      </c>
      <c r="I84" s="366" t="str">
        <f t="shared" si="44"/>
        <v/>
      </c>
      <c r="J84" s="806" t="str">
        <f>IFERROR(IF(F84="","",VLOOKUP(F84,'10. Condition and Temporal'!$B$6:$F$103,5,FALSE)), "Error ▲")</f>
        <v/>
      </c>
      <c r="K84" s="807"/>
      <c r="L84" s="317" t="str">
        <f t="shared" si="45"/>
        <v/>
      </c>
      <c r="M84" s="650" t="str">
        <f t="shared" si="46"/>
        <v/>
      </c>
      <c r="N84" s="804"/>
      <c r="O84" s="75"/>
      <c r="P84" s="12"/>
      <c r="R84" s="664"/>
      <c r="T84" s="196" t="str">
        <f t="shared" si="15"/>
        <v/>
      </c>
      <c r="U84" s="117" t="str">
        <f t="shared" si="47"/>
        <v/>
      </c>
      <c r="V84" s="118" t="str">
        <f t="shared" si="16"/>
        <v/>
      </c>
      <c r="W84" s="117" t="str">
        <f t="shared" si="16"/>
        <v/>
      </c>
      <c r="X84" s="96" t="str">
        <f t="shared" si="16"/>
        <v/>
      </c>
      <c r="Y84" s="392"/>
      <c r="Z84" s="392"/>
      <c r="AA84" s="392"/>
      <c r="AB84" s="96" t="str">
        <f t="shared" si="17"/>
        <v/>
      </c>
      <c r="AC84" s="119" t="str">
        <f t="shared" si="18"/>
        <v/>
      </c>
      <c r="AD84" s="118" t="str">
        <f t="shared" si="50"/>
        <v/>
      </c>
      <c r="AE84" s="198" t="str">
        <f t="shared" si="48"/>
        <v/>
      </c>
      <c r="AF84" s="116" t="str">
        <f t="shared" si="19"/>
        <v/>
      </c>
      <c r="AG84" s="117" t="str">
        <f>IF(D84="","",VLOOKUP(F84,'9. All Habitats + Multipliers'!$C$4:$K$102,5,FALSE))</f>
        <v/>
      </c>
      <c r="AH84" s="118" t="str">
        <f>IF(AG84="","",VLOOKUP(AG84,'11. Lists'!$S$47:$U$50,2,FALSE))</f>
        <v/>
      </c>
      <c r="AI84" s="116" t="str">
        <f t="shared" si="20"/>
        <v/>
      </c>
      <c r="AJ84" s="94" t="str">
        <f>IF(AI84="","",VLOOKUP(AI84,'11. Lists'!$F$47:$G$51,2,FALSE))</f>
        <v/>
      </c>
      <c r="AK84" s="392"/>
      <c r="AL84" s="392"/>
      <c r="AM84" s="392"/>
      <c r="AN84" s="95" t="str">
        <f t="shared" si="21"/>
        <v/>
      </c>
      <c r="AO84" s="120" t="str">
        <f>IF(AN84="","",VLOOKUP(AN84,'11. Lists'!$F$36:$H$38,2,FALSE))</f>
        <v/>
      </c>
      <c r="AP84" s="118"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2"/>
        <v/>
      </c>
      <c r="AZ84" s="227"/>
      <c r="BA84" s="94">
        <v>19</v>
      </c>
      <c r="BB84" s="96" t="str">
        <f t="shared" si="23"/>
        <v/>
      </c>
      <c r="BC84" s="96" t="str">
        <f t="shared" si="24"/>
        <v/>
      </c>
      <c r="BD84" s="96" t="str">
        <f t="shared" si="25"/>
        <v/>
      </c>
      <c r="BE84" s="96" t="str">
        <f t="shared" si="26"/>
        <v/>
      </c>
      <c r="BF84" s="96" t="str">
        <f t="shared" si="27"/>
        <v/>
      </c>
      <c r="BG84" s="96" t="str">
        <f t="shared" si="28"/>
        <v/>
      </c>
      <c r="BH84" s="96" t="str">
        <f t="shared" si="29"/>
        <v/>
      </c>
      <c r="BI84" s="96" t="str">
        <f t="shared" si="30"/>
        <v/>
      </c>
      <c r="BJ84" s="96" t="str">
        <f t="shared" si="31"/>
        <v/>
      </c>
      <c r="BK84" s="96" t="str">
        <f t="shared" si="32"/>
        <v/>
      </c>
      <c r="BL84" s="96" t="str">
        <f t="shared" si="33"/>
        <v/>
      </c>
      <c r="BM84" s="96" t="str">
        <f t="shared" si="34"/>
        <v/>
      </c>
      <c r="BN84" s="96" t="str">
        <f t="shared" si="35"/>
        <v/>
      </c>
      <c r="BO84" s="96" t="str">
        <f t="shared" si="36"/>
        <v/>
      </c>
      <c r="BP84" s="96" t="str">
        <f t="shared" si="37"/>
        <v/>
      </c>
      <c r="BQ84" s="96" t="str">
        <f t="shared" si="38"/>
        <v/>
      </c>
      <c r="BR84" s="96" t="str">
        <f t="shared" si="39"/>
        <v/>
      </c>
      <c r="BS84" s="96" t="str">
        <f t="shared" si="40"/>
        <v/>
      </c>
      <c r="BT84" s="96" t="str">
        <f t="shared" si="41"/>
        <v/>
      </c>
      <c r="BU84" s="95" t="str">
        <f t="shared" si="42"/>
        <v/>
      </c>
      <c r="BV84" s="205" t="str">
        <f t="shared" si="49"/>
        <v/>
      </c>
      <c r="BW84" s="96" t="s">
        <v>153</v>
      </c>
      <c r="BX84" s="96">
        <f>BT64</f>
        <v>0</v>
      </c>
    </row>
    <row r="85" spans="1:76" s="26" customFormat="1" ht="16.5" thickBot="1" x14ac:dyDescent="0.3">
      <c r="B85" s="299">
        <v>20</v>
      </c>
      <c r="C85" s="141" t="str">
        <f t="shared" si="12"/>
        <v/>
      </c>
      <c r="D85" s="493" t="str">
        <f t="shared" si="43"/>
        <v/>
      </c>
      <c r="E85" s="177" t="str">
        <f t="shared" si="13"/>
        <v/>
      </c>
      <c r="F85" s="811"/>
      <c r="G85" s="812"/>
      <c r="H85" s="173" t="str">
        <f t="shared" si="14"/>
        <v/>
      </c>
      <c r="I85" s="494" t="str">
        <f t="shared" si="44"/>
        <v/>
      </c>
      <c r="J85" s="808" t="str">
        <f>IFERROR(IF(F85="","",VLOOKUP(F85,'10. Condition and Temporal'!$B$6:$F$103,5,FALSE)), "Error ▲")</f>
        <v/>
      </c>
      <c r="K85" s="809"/>
      <c r="L85" s="495" t="str">
        <f t="shared" si="45"/>
        <v/>
      </c>
      <c r="M85" s="810" t="str">
        <f t="shared" si="46"/>
        <v/>
      </c>
      <c r="N85" s="800"/>
      <c r="O85" s="76"/>
      <c r="P85" s="14"/>
      <c r="R85" s="664"/>
      <c r="T85" s="196" t="str">
        <f t="shared" si="15"/>
        <v/>
      </c>
      <c r="U85" s="117" t="str">
        <f t="shared" si="47"/>
        <v/>
      </c>
      <c r="V85" s="118" t="str">
        <f t="shared" si="16"/>
        <v/>
      </c>
      <c r="W85" s="117" t="str">
        <f t="shared" si="16"/>
        <v/>
      </c>
      <c r="X85" s="96" t="str">
        <f t="shared" si="16"/>
        <v/>
      </c>
      <c r="Y85" s="392"/>
      <c r="Z85" s="392"/>
      <c r="AA85" s="392"/>
      <c r="AB85" s="96" t="str">
        <f t="shared" si="17"/>
        <v/>
      </c>
      <c r="AC85" s="119" t="str">
        <f t="shared" si="18"/>
        <v/>
      </c>
      <c r="AD85" s="118" t="str">
        <f t="shared" si="50"/>
        <v/>
      </c>
      <c r="AE85" s="198" t="str">
        <f t="shared" si="48"/>
        <v/>
      </c>
      <c r="AF85" s="116" t="str">
        <f t="shared" si="19"/>
        <v/>
      </c>
      <c r="AG85" s="117" t="str">
        <f>IF(D85="","",VLOOKUP(F85,'9. All Habitats + Multipliers'!$C$4:$K$102,5,FALSE))</f>
        <v/>
      </c>
      <c r="AH85" s="118" t="str">
        <f>IF(AG85="","",VLOOKUP(AG85,'11. Lists'!$S$47:$U$50,2,FALSE))</f>
        <v/>
      </c>
      <c r="AI85" s="116" t="str">
        <f t="shared" si="20"/>
        <v/>
      </c>
      <c r="AJ85" s="100" t="str">
        <f>IF(AI85="","",VLOOKUP(AI85,'11. Lists'!$F$47:$G$51,2,FALSE))</f>
        <v/>
      </c>
      <c r="AK85" s="414"/>
      <c r="AL85" s="414"/>
      <c r="AM85" s="414"/>
      <c r="AN85" s="101" t="str">
        <f t="shared" si="21"/>
        <v/>
      </c>
      <c r="AO85" s="120" t="str">
        <f>IF(AN85="","",VLOOKUP(AN85,'11. Lists'!$F$36:$H$38,2,FALSE))</f>
        <v/>
      </c>
      <c r="AP85" s="118"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2"/>
        <v/>
      </c>
      <c r="AZ85" s="227"/>
      <c r="BA85" s="100">
        <v>20</v>
      </c>
      <c r="BB85" s="96" t="str">
        <f t="shared" si="23"/>
        <v/>
      </c>
      <c r="BC85" s="96" t="str">
        <f t="shared" si="24"/>
        <v/>
      </c>
      <c r="BD85" s="96" t="str">
        <f t="shared" si="25"/>
        <v/>
      </c>
      <c r="BE85" s="96" t="str">
        <f t="shared" si="26"/>
        <v/>
      </c>
      <c r="BF85" s="96" t="str">
        <f t="shared" si="27"/>
        <v/>
      </c>
      <c r="BG85" s="96" t="str">
        <f t="shared" si="28"/>
        <v/>
      </c>
      <c r="BH85" s="96" t="str">
        <f t="shared" si="29"/>
        <v/>
      </c>
      <c r="BI85" s="96" t="str">
        <f t="shared" si="30"/>
        <v/>
      </c>
      <c r="BJ85" s="96" t="str">
        <f t="shared" si="31"/>
        <v/>
      </c>
      <c r="BK85" s="96" t="str">
        <f t="shared" si="32"/>
        <v/>
      </c>
      <c r="BL85" s="96" t="str">
        <f t="shared" si="33"/>
        <v/>
      </c>
      <c r="BM85" s="96" t="str">
        <f t="shared" si="34"/>
        <v/>
      </c>
      <c r="BN85" s="96" t="str">
        <f t="shared" si="35"/>
        <v/>
      </c>
      <c r="BO85" s="96" t="str">
        <f t="shared" si="36"/>
        <v/>
      </c>
      <c r="BP85" s="96" t="str">
        <f t="shared" si="37"/>
        <v/>
      </c>
      <c r="BQ85" s="96" t="str">
        <f t="shared" si="38"/>
        <v/>
      </c>
      <c r="BR85" s="96" t="str">
        <f t="shared" si="39"/>
        <v/>
      </c>
      <c r="BS85" s="96" t="str">
        <f t="shared" si="40"/>
        <v/>
      </c>
      <c r="BT85" s="96" t="str">
        <f t="shared" si="41"/>
        <v/>
      </c>
      <c r="BU85" s="95" t="str">
        <f t="shared" si="42"/>
        <v/>
      </c>
      <c r="BV85" s="205" t="str">
        <f t="shared" si="49"/>
        <v/>
      </c>
      <c r="BW85" s="96" t="s">
        <v>154</v>
      </c>
      <c r="BX85" s="96">
        <f>BU64</f>
        <v>0</v>
      </c>
    </row>
    <row r="86" spans="1:76" s="26" customFormat="1" ht="15.75" thickBot="1" x14ac:dyDescent="0.3">
      <c r="H86" s="302" t="s">
        <v>194</v>
      </c>
      <c r="I86" s="368">
        <f>SUM(I66:I85)</f>
        <v>0</v>
      </c>
      <c r="J86" s="487"/>
      <c r="L86" s="456">
        <f>SUM(L66:L85)</f>
        <v>0</v>
      </c>
      <c r="M86" s="799">
        <f>SUM(M66:N85)</f>
        <v>0</v>
      </c>
      <c r="N86" s="800"/>
      <c r="R86" s="664"/>
    </row>
    <row r="87" spans="1:76" s="26" customFormat="1" x14ac:dyDescent="0.25">
      <c r="C87" s="27"/>
      <c r="R87" s="664"/>
    </row>
    <row r="88" spans="1:76" s="26" customFormat="1" x14ac:dyDescent="0.25">
      <c r="R88" s="664"/>
    </row>
    <row r="89" spans="1:76" s="26" customFormat="1" ht="19.149999999999999" customHeight="1" x14ac:dyDescent="0.25">
      <c r="R89" s="664"/>
    </row>
    <row r="90" spans="1:76" s="26" customFormat="1" x14ac:dyDescent="0.25">
      <c r="R90" s="664"/>
    </row>
    <row r="91" spans="1:76" s="26" customFormat="1" x14ac:dyDescent="0.25">
      <c r="A91" s="668" t="s">
        <v>163</v>
      </c>
      <c r="B91" s="668"/>
      <c r="C91" s="668"/>
      <c r="D91" s="668"/>
      <c r="E91" s="668"/>
      <c r="F91" s="668"/>
      <c r="G91" s="668"/>
      <c r="H91" s="668"/>
      <c r="I91" s="668"/>
      <c r="J91" s="668"/>
      <c r="K91" s="668"/>
      <c r="L91" s="668"/>
      <c r="M91" s="668"/>
      <c r="N91" s="668"/>
      <c r="O91" s="668"/>
      <c r="P91" s="668"/>
      <c r="Q91" s="668"/>
      <c r="R91" s="664"/>
    </row>
    <row r="92" spans="1:76" s="26" customFormat="1" x14ac:dyDescent="0.25">
      <c r="A92" s="668"/>
      <c r="B92" s="668"/>
      <c r="C92" s="668"/>
      <c r="D92" s="668"/>
      <c r="E92" s="668"/>
      <c r="F92" s="668"/>
      <c r="G92" s="668"/>
      <c r="H92" s="668"/>
      <c r="I92" s="668"/>
      <c r="J92" s="668"/>
      <c r="K92" s="668"/>
      <c r="L92" s="668"/>
      <c r="M92" s="668"/>
      <c r="N92" s="668"/>
      <c r="O92" s="668"/>
      <c r="P92" s="668"/>
      <c r="Q92" s="668"/>
      <c r="R92" s="664"/>
    </row>
    <row r="93" spans="1:76" s="26" customFormat="1" x14ac:dyDescent="0.25">
      <c r="A93" s="668"/>
      <c r="B93" s="668"/>
      <c r="C93" s="668"/>
      <c r="D93" s="668"/>
      <c r="E93" s="668"/>
      <c r="F93" s="668"/>
      <c r="G93" s="668"/>
      <c r="H93" s="668"/>
      <c r="I93" s="668"/>
      <c r="J93" s="668"/>
      <c r="K93" s="668"/>
      <c r="L93" s="668"/>
      <c r="M93" s="668"/>
      <c r="N93" s="668"/>
      <c r="O93" s="668"/>
      <c r="P93" s="668"/>
      <c r="Q93" s="668"/>
      <c r="R93" s="664"/>
    </row>
    <row r="94" spans="1:76" s="26" customFormat="1" x14ac:dyDescent="0.25">
      <c r="R94" s="664"/>
    </row>
    <row r="95" spans="1:76" s="26" customFormat="1" ht="21" x14ac:dyDescent="0.35">
      <c r="B95" s="58" t="s">
        <v>164</v>
      </c>
      <c r="D95" s="27"/>
      <c r="E95" s="27"/>
      <c r="F95" s="27"/>
      <c r="G95" s="27"/>
      <c r="R95" s="664"/>
    </row>
    <row r="96" spans="1:76" s="26" customFormat="1" ht="15.75" thickBot="1" x14ac:dyDescent="0.3">
      <c r="R96" s="664"/>
    </row>
    <row r="97" spans="2:18" s="26" customFormat="1" ht="36.6" customHeight="1" x14ac:dyDescent="0.25">
      <c r="B97" s="681" t="s">
        <v>165</v>
      </c>
      <c r="C97" s="682"/>
      <c r="D97" s="683"/>
      <c r="E97" s="662" t="str">
        <f>IF(SUM(J103:J106)&gt;0,"Error - Trading Rules Not Satisfied - Insufficent Medium Distinctivness Units Created ▲","Trading Rules Satisfied 🗸")</f>
        <v>Trading Rules Satisfied 🗸</v>
      </c>
      <c r="F97" s="662"/>
      <c r="G97" s="662"/>
      <c r="H97" s="662"/>
      <c r="I97" s="663"/>
      <c r="J97" s="166">
        <f>IFERROR(FIND("Error",E97),0)</f>
        <v>0</v>
      </c>
      <c r="R97" s="664"/>
    </row>
    <row r="98" spans="2:18" s="26" customFormat="1" ht="36" customHeight="1" thickBot="1" x14ac:dyDescent="0.3">
      <c r="B98" s="669" t="s">
        <v>166</v>
      </c>
      <c r="C98" s="670"/>
      <c r="D98" s="671"/>
      <c r="E98" s="660" t="str">
        <f>IF(SUM(J109:J111)&gt;0,"Error - Trading Rules Not Satisfied - Insufficent Units Created Within Habitat Groups ▲","Trading Rules Satisfied 🗸")</f>
        <v>Trading Rules Satisfied 🗸</v>
      </c>
      <c r="F98" s="660"/>
      <c r="G98" s="660"/>
      <c r="H98" s="660"/>
      <c r="I98" s="661"/>
      <c r="J98" s="166">
        <f>IFERROR(FIND("Error",E98),0)</f>
        <v>0</v>
      </c>
      <c r="R98" s="664"/>
    </row>
    <row r="99" spans="2:18" s="26" customFormat="1" x14ac:dyDescent="0.25">
      <c r="R99" s="664"/>
    </row>
    <row r="100" spans="2:18" s="26" customFormat="1" ht="21" x14ac:dyDescent="0.35">
      <c r="B100" s="58" t="s">
        <v>167</v>
      </c>
      <c r="R100" s="664"/>
    </row>
    <row r="101" spans="2:18" s="26" customFormat="1" ht="15.75" thickBot="1" x14ac:dyDescent="0.3">
      <c r="R101" s="664"/>
    </row>
    <row r="102" spans="2:18" s="26" customFormat="1" ht="36.6" customHeight="1" x14ac:dyDescent="0.25">
      <c r="B102" s="724" t="s">
        <v>168</v>
      </c>
      <c r="C102" s="725"/>
      <c r="D102" s="725"/>
      <c r="E102" s="233" t="s">
        <v>169</v>
      </c>
      <c r="F102" s="233" t="s">
        <v>170</v>
      </c>
      <c r="G102" s="233" t="s">
        <v>171</v>
      </c>
      <c r="H102" s="233" t="s">
        <v>172</v>
      </c>
      <c r="I102" s="123" t="s">
        <v>173</v>
      </c>
      <c r="J102" s="166" t="s">
        <v>196</v>
      </c>
      <c r="R102" s="664"/>
    </row>
    <row r="103" spans="2:18" s="26" customFormat="1" ht="15.6" customHeight="1" x14ac:dyDescent="0.25">
      <c r="B103" s="726" t="s">
        <v>954</v>
      </c>
      <c r="C103" s="727"/>
      <c r="D103" s="728"/>
      <c r="E103" s="124" t="s">
        <v>175</v>
      </c>
      <c r="F103" s="125">
        <f>SUMIFS($L$11:$L$30,$C$11:$C$30,$B103,$T$11:$T$30,$E103)</f>
        <v>0</v>
      </c>
      <c r="G103" s="125">
        <f>SUMIFS($L$39:$L$58,$C$39:$C$58,$B103,$T$39:$T$58,$E103)+SUMIFS($L$66:$L$85,$C$66:$C$85,B103,$AG$66:$AG$85,E103)+SUMIFS($AE$11:$AE$30,$C$11:$C$30,B103,$T$11:$T$30,E103)</f>
        <v>0</v>
      </c>
      <c r="H103" s="125">
        <f>G103-F103</f>
        <v>0</v>
      </c>
      <c r="I103" s="126" t="s">
        <v>176</v>
      </c>
      <c r="J103" s="166"/>
      <c r="R103" s="664"/>
    </row>
    <row r="104" spans="2:18" s="26" customFormat="1" ht="15.6" customHeight="1" thickBot="1" x14ac:dyDescent="0.3">
      <c r="B104" s="743"/>
      <c r="C104" s="744"/>
      <c r="D104" s="745"/>
      <c r="E104" s="241" t="s">
        <v>177</v>
      </c>
      <c r="F104" s="242">
        <f>SUMIFS($L$11:$L$30,$C$11:$C$30,$B103,$T$11:$T$30,$E104)</f>
        <v>0</v>
      </c>
      <c r="G104" s="242">
        <f>SUMIFS($L$39:$L$58,$C$39:$C$58,$B103,$T$39:$T$58,$E104)+SUMIFS($L$66:$L$85,$C$66:$C$85,B103,$AG$66:$AG$85,E104)+SUMIFS($AE$11:$AE$30,$C$11:$C$30,B103,$T$11:$T$30,E104)</f>
        <v>0</v>
      </c>
      <c r="H104" s="242">
        <f>G104-F104</f>
        <v>0</v>
      </c>
      <c r="I104" s="243" t="str">
        <f>IF(F104=0,"N/A",IF(H104&lt;0,"No","Yes"))</f>
        <v>N/A</v>
      </c>
      <c r="J104" s="166">
        <f>IF(I104="No ▲",1,0)</f>
        <v>0</v>
      </c>
      <c r="R104" s="664"/>
    </row>
    <row r="105" spans="2:18" s="26" customFormat="1" ht="15.6" hidden="1" customHeight="1" x14ac:dyDescent="0.25">
      <c r="B105" s="741" t="s">
        <v>198</v>
      </c>
      <c r="C105" s="742"/>
      <c r="D105" s="805"/>
      <c r="E105" s="447" t="s">
        <v>175</v>
      </c>
      <c r="F105" s="448">
        <f>SUMIFS($L$11:$L$30,$C$11:$C$30,$B105,$T$11:$T$30,$E105)</f>
        <v>0</v>
      </c>
      <c r="G105" s="448">
        <f>SUMIFS($L$39:$L$58,$C$39:$C$58,$B105,$T$39:$T$58,$E105)+SUMIFS($L$66:$L$85,$C$66:$C$85,B105,$AG$66:$AG$85,E105)+SUMIFS($AE$11:$AE$30,$C$11:$C$30,B105,$T$11:$T$30,E105)</f>
        <v>0</v>
      </c>
      <c r="H105" s="448">
        <f>G105-F105</f>
        <v>0</v>
      </c>
      <c r="I105" s="449" t="s">
        <v>176</v>
      </c>
      <c r="J105" s="166"/>
      <c r="R105" s="664"/>
    </row>
    <row r="106" spans="2:18" s="26" customFormat="1" ht="15.6" hidden="1" customHeight="1" thickBot="1" x14ac:dyDescent="0.3">
      <c r="B106" s="743"/>
      <c r="C106" s="744"/>
      <c r="D106" s="745"/>
      <c r="E106" s="241" t="s">
        <v>177</v>
      </c>
      <c r="F106" s="242">
        <f>SUMIFS($L$11:$L$30,$C$11:$C$30,$B105,$T$11:$T$30,$E106)</f>
        <v>0</v>
      </c>
      <c r="G106" s="242">
        <f>SUMIFS($L$39:$L$58,$C$39:$C$58,$B105,$T$39:$T$58,$E106)+SUMIFS($L$66:$L$85,$C$66:$C$85,B105,$AG$66:$AG$85,E106)+SUMIFS($AE$11:$AE$30,$C$11:$C$30,B105,$T$11:$T$30,E106)</f>
        <v>0</v>
      </c>
      <c r="H106" s="242">
        <f>G106-F106</f>
        <v>0</v>
      </c>
      <c r="I106" s="243" t="str">
        <f>IF(F106=0,"N/A",IF(H106&lt;0,"No","Yes"))</f>
        <v>N/A</v>
      </c>
      <c r="J106" s="166">
        <f>IF(I106="No ▲",1,0)</f>
        <v>0</v>
      </c>
      <c r="R106" s="664"/>
    </row>
    <row r="107" spans="2:18" s="26" customFormat="1" ht="15.6" customHeight="1" thickBot="1" x14ac:dyDescent="0.3">
      <c r="J107" s="166"/>
      <c r="M107" s="27"/>
      <c r="R107" s="664"/>
    </row>
    <row r="108" spans="2:18" s="26" customFormat="1" ht="37.5" x14ac:dyDescent="0.25">
      <c r="B108" s="681" t="s">
        <v>169</v>
      </c>
      <c r="C108" s="682"/>
      <c r="D108" s="682"/>
      <c r="E108" s="683"/>
      <c r="F108" s="129" t="s">
        <v>170</v>
      </c>
      <c r="G108" s="129" t="s">
        <v>171</v>
      </c>
      <c r="H108" s="129" t="s">
        <v>172</v>
      </c>
      <c r="I108" s="130" t="s">
        <v>173</v>
      </c>
      <c r="J108" s="166"/>
      <c r="M108" s="27"/>
      <c r="R108" s="664"/>
    </row>
    <row r="109" spans="2:18" s="26" customFormat="1" ht="30.6" customHeight="1" x14ac:dyDescent="0.25">
      <c r="B109" s="735" t="s">
        <v>185</v>
      </c>
      <c r="C109" s="736"/>
      <c r="D109" s="736"/>
      <c r="E109" s="737"/>
      <c r="F109" s="125">
        <f>SUMIFS($L$11:$L$30,$T$11:$T$30,"Medium")</f>
        <v>0</v>
      </c>
      <c r="G109" s="165">
        <f>IF(I59+I86+P1=0,0,SUMIFS($L$39:$L$58,$T$39:$T$58,"Medium")+SUMIFS($L$66:$L$85,$AG$66:$AG$85,"Medium")+SUMIFS($AE$11:$AE$30,$T$11:$T$30,"Medium"))</f>
        <v>0</v>
      </c>
      <c r="H109" s="125">
        <f>IFERROR(G109-F109,"")</f>
        <v>0</v>
      </c>
      <c r="I109" s="375" t="str">
        <f>IF(H109&gt;=0,"Yes 🗸","No ▲")</f>
        <v>Yes 🗸</v>
      </c>
      <c r="J109" s="166">
        <f>IF(I109="No ▲",1,0)</f>
        <v>0</v>
      </c>
      <c r="R109" s="664" t="s">
        <v>45</v>
      </c>
    </row>
    <row r="110" spans="2:18" s="26" customFormat="1" ht="30.6" customHeight="1" x14ac:dyDescent="0.25">
      <c r="B110" s="735" t="s">
        <v>186</v>
      </c>
      <c r="C110" s="736"/>
      <c r="D110" s="736"/>
      <c r="E110" s="737"/>
      <c r="F110" s="125">
        <f>SUMIFS($L$11:$L$30,$T$11:$T$30,"Low")</f>
        <v>0</v>
      </c>
      <c r="G110" s="165">
        <f>IF(I59+I86+P1=0,0,SUMIFS($L$39:$L$58,$T$39:$T$58,"Low")+SUMIFS($M$66:$M$85,$AG$66:$AG$85,"Low")+SUMIFS($AE$11:$AE$30,$T$11:$T$30,"Low"))</f>
        <v>0</v>
      </c>
      <c r="H110" s="125">
        <f>IFERROR(G110-F110,"")</f>
        <v>0</v>
      </c>
      <c r="I110" s="375" t="str">
        <f>IF(H110+H109&gt;=0,"Yes 🗸","No ▲")</f>
        <v>Yes 🗸</v>
      </c>
      <c r="J110" s="166">
        <f>IF(I110="No ▲",1,0)</f>
        <v>0</v>
      </c>
      <c r="R110" s="664"/>
    </row>
    <row r="111" spans="2:18" s="26" customFormat="1" ht="29.45" customHeight="1" thickBot="1" x14ac:dyDescent="0.3">
      <c r="B111" s="738" t="s">
        <v>187</v>
      </c>
      <c r="C111" s="739"/>
      <c r="D111" s="739"/>
      <c r="E111" s="740"/>
      <c r="F111" s="732">
        <f>IFERROR(H109+H110,"")</f>
        <v>0</v>
      </c>
      <c r="G111" s="733"/>
      <c r="H111" s="734"/>
      <c r="I111" s="376" t="str">
        <f>IF(F111&gt;=0,"Yes 🗸","No ▲")</f>
        <v>Yes 🗸</v>
      </c>
      <c r="J111" s="166">
        <f>IF(I111="No ▲",1,0)</f>
        <v>0</v>
      </c>
      <c r="R111" s="664"/>
    </row>
    <row r="112" spans="2:18" s="26" customFormat="1" x14ac:dyDescent="0.25">
      <c r="R112" s="664"/>
    </row>
    <row r="113" spans="18:18" s="26" customFormat="1" x14ac:dyDescent="0.25">
      <c r="R113" s="664"/>
    </row>
    <row r="114" spans="18:18" s="26" customFormat="1" x14ac:dyDescent="0.25">
      <c r="R114" s="664"/>
    </row>
    <row r="115" spans="18:18" s="26" customFormat="1" x14ac:dyDescent="0.25">
      <c r="R115" s="664"/>
    </row>
    <row r="116" spans="18:18" s="26" customFormat="1" x14ac:dyDescent="0.25">
      <c r="R116" s="664"/>
    </row>
    <row r="117" spans="18:18" s="26" customFormat="1" x14ac:dyDescent="0.25">
      <c r="R117" s="664"/>
    </row>
    <row r="118" spans="18:18" s="26" customFormat="1" x14ac:dyDescent="0.25">
      <c r="R118" s="664"/>
    </row>
    <row r="119" spans="18:18" s="26" customFormat="1" x14ac:dyDescent="0.25">
      <c r="R119" s="664"/>
    </row>
    <row r="120" spans="18:18" s="26" customFormat="1" x14ac:dyDescent="0.25">
      <c r="R120" s="664"/>
    </row>
    <row r="121" spans="18:18" s="26" customFormat="1" x14ac:dyDescent="0.25">
      <c r="R121" s="664"/>
    </row>
    <row r="122" spans="18:18" s="26" customFormat="1" x14ac:dyDescent="0.25">
      <c r="R122" s="664"/>
    </row>
    <row r="123" spans="18:18" s="26" customFormat="1" x14ac:dyDescent="0.25">
      <c r="R123" s="664"/>
    </row>
    <row r="124" spans="18:18" s="26" customFormat="1" x14ac:dyDescent="0.25">
      <c r="R124" s="664"/>
    </row>
    <row r="125" spans="18:18" s="26" customFormat="1" x14ac:dyDescent="0.25">
      <c r="R125" s="664"/>
    </row>
    <row r="126" spans="18:18" s="26" customFormat="1" x14ac:dyDescent="0.25">
      <c r="R126" s="664"/>
    </row>
    <row r="127" spans="18:18" s="26" customFormat="1" x14ac:dyDescent="0.25">
      <c r="R127" s="664"/>
    </row>
    <row r="128" spans="18:18" s="26" customFormat="1" x14ac:dyDescent="0.25">
      <c r="R128" s="664"/>
    </row>
    <row r="129" spans="18:18" s="26" customFormat="1" x14ac:dyDescent="0.25">
      <c r="R129" s="664"/>
    </row>
    <row r="130" spans="18:18" s="26" customFormat="1" x14ac:dyDescent="0.25">
      <c r="R130" s="664"/>
    </row>
    <row r="131" spans="18:18" s="26" customFormat="1" x14ac:dyDescent="0.25">
      <c r="R131" s="664"/>
    </row>
    <row r="132" spans="18:18" s="26" customFormat="1" x14ac:dyDescent="0.25">
      <c r="R132" s="664"/>
    </row>
    <row r="133" spans="18:18" s="26" customFormat="1" x14ac:dyDescent="0.25">
      <c r="R133" s="664"/>
    </row>
    <row r="134" spans="18:18" s="26" customFormat="1" x14ac:dyDescent="0.25">
      <c r="R134" s="664"/>
    </row>
    <row r="135" spans="18:18" s="26" customFormat="1" x14ac:dyDescent="0.25">
      <c r="R135" s="664"/>
    </row>
    <row r="136" spans="18:18" s="26" customFormat="1" x14ac:dyDescent="0.25">
      <c r="R136" s="664"/>
    </row>
    <row r="137" spans="18:18" s="26" customFormat="1" x14ac:dyDescent="0.25">
      <c r="R137" s="664"/>
    </row>
    <row r="138" spans="18:18" s="26" customFormat="1" x14ac:dyDescent="0.25">
      <c r="R138" s="664"/>
    </row>
    <row r="139" spans="18:18" s="26" customFormat="1" x14ac:dyDescent="0.25">
      <c r="R139" s="664"/>
    </row>
    <row r="140" spans="18:18" s="26" customFormat="1" x14ac:dyDescent="0.25">
      <c r="R140" s="664"/>
    </row>
  </sheetData>
  <sheetProtection algorithmName="SHA-512" hashValue="5YhKClyACv2ORn/sLQCsY81vYUeQEXxeUZ1/PERhuIGxvJa0o4QJtDWVbTF+E4SAMRp25z0CVBBvB/DRZmsxAQ==" saltValue="DCTJCQ545hSEe/wjKs2eeQ==" spinCount="100000" sheet="1" formatRows="0"/>
  <mergeCells count="275">
    <mergeCell ref="I60:N60"/>
    <mergeCell ref="AR64:AX64"/>
    <mergeCell ref="T55:U55"/>
    <mergeCell ref="T56:U56"/>
    <mergeCell ref="T57:U57"/>
    <mergeCell ref="T58:U58"/>
    <mergeCell ref="T64:AD64"/>
    <mergeCell ref="AE64:AE65"/>
    <mergeCell ref="AQ64:AQ65"/>
    <mergeCell ref="AF64:AP64"/>
    <mergeCell ref="I59:K59"/>
    <mergeCell ref="L59:N59"/>
    <mergeCell ref="T46:U46"/>
    <mergeCell ref="T47:U47"/>
    <mergeCell ref="T48:U48"/>
    <mergeCell ref="T49:U49"/>
    <mergeCell ref="T50:U50"/>
    <mergeCell ref="T51:U51"/>
    <mergeCell ref="T52:U52"/>
    <mergeCell ref="T53:U53"/>
    <mergeCell ref="T54:U54"/>
    <mergeCell ref="T27:U27"/>
    <mergeCell ref="T28:U28"/>
    <mergeCell ref="T29:U29"/>
    <mergeCell ref="T30:U30"/>
    <mergeCell ref="T37:V37"/>
    <mergeCell ref="T38:U38"/>
    <mergeCell ref="T39:U39"/>
    <mergeCell ref="T40:U40"/>
    <mergeCell ref="T41:U41"/>
    <mergeCell ref="T18:U18"/>
    <mergeCell ref="T19:U19"/>
    <mergeCell ref="T20:U20"/>
    <mergeCell ref="T21:U21"/>
    <mergeCell ref="T22:U22"/>
    <mergeCell ref="T23:U23"/>
    <mergeCell ref="T24:U24"/>
    <mergeCell ref="T25:U25"/>
    <mergeCell ref="T26:U26"/>
    <mergeCell ref="T9:V9"/>
    <mergeCell ref="T10:U10"/>
    <mergeCell ref="T11:U11"/>
    <mergeCell ref="T12:U12"/>
    <mergeCell ref="T13:U13"/>
    <mergeCell ref="T14:U14"/>
    <mergeCell ref="T15:U15"/>
    <mergeCell ref="T16:U16"/>
    <mergeCell ref="T17:U17"/>
    <mergeCell ref="B9:B10"/>
    <mergeCell ref="C9:E9"/>
    <mergeCell ref="F9:H10"/>
    <mergeCell ref="I9:K9"/>
    <mergeCell ref="L9:N9"/>
    <mergeCell ref="D13:E13"/>
    <mergeCell ref="F13:H13"/>
    <mergeCell ref="D14:E14"/>
    <mergeCell ref="F14:H14"/>
    <mergeCell ref="D15:E15"/>
    <mergeCell ref="F15:H15"/>
    <mergeCell ref="AH9:AH10"/>
    <mergeCell ref="AI9:AI10"/>
    <mergeCell ref="D10:E10"/>
    <mergeCell ref="D11:E11"/>
    <mergeCell ref="F11:H11"/>
    <mergeCell ref="D12:E12"/>
    <mergeCell ref="F12:H12"/>
    <mergeCell ref="O9:P9"/>
    <mergeCell ref="W9:X9"/>
    <mergeCell ref="Y9:AA9"/>
    <mergeCell ref="AB9:AD9"/>
    <mergeCell ref="AE9:AG9"/>
    <mergeCell ref="R1:R31"/>
    <mergeCell ref="C2:D2"/>
    <mergeCell ref="F2:H6"/>
    <mergeCell ref="J2:M5"/>
    <mergeCell ref="C3:D3"/>
    <mergeCell ref="D19:E19"/>
    <mergeCell ref="F19:H19"/>
    <mergeCell ref="D20:E20"/>
    <mergeCell ref="F20:H20"/>
    <mergeCell ref="D21:E21"/>
    <mergeCell ref="F21:H21"/>
    <mergeCell ref="D16:E16"/>
    <mergeCell ref="F16:H16"/>
    <mergeCell ref="D17:E17"/>
    <mergeCell ref="F17:H17"/>
    <mergeCell ref="D18:E18"/>
    <mergeCell ref="F18:H18"/>
    <mergeCell ref="D25:E25"/>
    <mergeCell ref="F25:H25"/>
    <mergeCell ref="D26:E26"/>
    <mergeCell ref="F26:H26"/>
    <mergeCell ref="D27:E27"/>
    <mergeCell ref="F27:H27"/>
    <mergeCell ref="D22:E22"/>
    <mergeCell ref="F22:H22"/>
    <mergeCell ref="D23:E23"/>
    <mergeCell ref="F23:H23"/>
    <mergeCell ref="D24:E24"/>
    <mergeCell ref="F24:H24"/>
    <mergeCell ref="I32:N32"/>
    <mergeCell ref="R34:R62"/>
    <mergeCell ref="O37:P37"/>
    <mergeCell ref="F39:G39"/>
    <mergeCell ref="I39:K39"/>
    <mergeCell ref="L39:N39"/>
    <mergeCell ref="D28:E28"/>
    <mergeCell ref="F28:H28"/>
    <mergeCell ref="D29:E29"/>
    <mergeCell ref="F29:H29"/>
    <mergeCell ref="D30:E30"/>
    <mergeCell ref="F30:H30"/>
    <mergeCell ref="F42:G42"/>
    <mergeCell ref="I42:K42"/>
    <mergeCell ref="L42:N42"/>
    <mergeCell ref="F43:G43"/>
    <mergeCell ref="I43:K43"/>
    <mergeCell ref="L43:N43"/>
    <mergeCell ref="F40:G40"/>
    <mergeCell ref="I40:K40"/>
    <mergeCell ref="L40:N40"/>
    <mergeCell ref="F41:G41"/>
    <mergeCell ref="I41:K41"/>
    <mergeCell ref="L41:N41"/>
    <mergeCell ref="AB37:AD37"/>
    <mergeCell ref="AE37:AF37"/>
    <mergeCell ref="AG37:AH37"/>
    <mergeCell ref="B37:B38"/>
    <mergeCell ref="C37:D37"/>
    <mergeCell ref="E37:G37"/>
    <mergeCell ref="H37:H38"/>
    <mergeCell ref="I37:K38"/>
    <mergeCell ref="L37:N38"/>
    <mergeCell ref="F38:G38"/>
    <mergeCell ref="F44:G44"/>
    <mergeCell ref="I44:K44"/>
    <mergeCell ref="L44:N44"/>
    <mergeCell ref="F45:G45"/>
    <mergeCell ref="I45:K45"/>
    <mergeCell ref="L45:N45"/>
    <mergeCell ref="W37:X37"/>
    <mergeCell ref="Y37:AA37"/>
    <mergeCell ref="T42:U42"/>
    <mergeCell ref="T43:U43"/>
    <mergeCell ref="T44:U44"/>
    <mergeCell ref="T45:U45"/>
    <mergeCell ref="F48:G48"/>
    <mergeCell ref="I48:K48"/>
    <mergeCell ref="L48:N48"/>
    <mergeCell ref="F49:G49"/>
    <mergeCell ref="I49:K49"/>
    <mergeCell ref="L49:N49"/>
    <mergeCell ref="F46:G46"/>
    <mergeCell ref="I46:K46"/>
    <mergeCell ref="L46:N46"/>
    <mergeCell ref="F47:G47"/>
    <mergeCell ref="I47:K47"/>
    <mergeCell ref="L47:N47"/>
    <mergeCell ref="F52:G52"/>
    <mergeCell ref="I52:K52"/>
    <mergeCell ref="L52:N52"/>
    <mergeCell ref="F53:G53"/>
    <mergeCell ref="I53:K53"/>
    <mergeCell ref="L53:N53"/>
    <mergeCell ref="F50:G50"/>
    <mergeCell ref="I50:K50"/>
    <mergeCell ref="L50:N50"/>
    <mergeCell ref="F51:G51"/>
    <mergeCell ref="I51:K51"/>
    <mergeCell ref="L51:N51"/>
    <mergeCell ref="A63:A65"/>
    <mergeCell ref="R63:R88"/>
    <mergeCell ref="C64:D64"/>
    <mergeCell ref="E64:G64"/>
    <mergeCell ref="H64:H65"/>
    <mergeCell ref="I64:I65"/>
    <mergeCell ref="J64:K65"/>
    <mergeCell ref="J68:K68"/>
    <mergeCell ref="J69:K69"/>
    <mergeCell ref="J66:K66"/>
    <mergeCell ref="J67:K67"/>
    <mergeCell ref="O64:P64"/>
    <mergeCell ref="J72:K72"/>
    <mergeCell ref="J73:K73"/>
    <mergeCell ref="M72:N72"/>
    <mergeCell ref="M73:N73"/>
    <mergeCell ref="J70:K70"/>
    <mergeCell ref="J71:K71"/>
    <mergeCell ref="M70:N70"/>
    <mergeCell ref="M71:N71"/>
    <mergeCell ref="J76:K76"/>
    <mergeCell ref="J77:K77"/>
    <mergeCell ref="M76:N76"/>
    <mergeCell ref="M77:N77"/>
    <mergeCell ref="J74:K74"/>
    <mergeCell ref="J75:K75"/>
    <mergeCell ref="M74:N74"/>
    <mergeCell ref="M75:N75"/>
    <mergeCell ref="M80:N80"/>
    <mergeCell ref="M81:N81"/>
    <mergeCell ref="J78:K78"/>
    <mergeCell ref="J79:K79"/>
    <mergeCell ref="M78:N78"/>
    <mergeCell ref="M79:N79"/>
    <mergeCell ref="J80:K80"/>
    <mergeCell ref="J81:K81"/>
    <mergeCell ref="F78:G78"/>
    <mergeCell ref="F79:G79"/>
    <mergeCell ref="F80:G80"/>
    <mergeCell ref="F81:G81"/>
    <mergeCell ref="F82:G82"/>
    <mergeCell ref="F83:G83"/>
    <mergeCell ref="F84:G84"/>
    <mergeCell ref="F85:G85"/>
    <mergeCell ref="F74:G74"/>
    <mergeCell ref="F75:G75"/>
    <mergeCell ref="F76:G76"/>
    <mergeCell ref="F77:G77"/>
    <mergeCell ref="R89:R98"/>
    <mergeCell ref="J84:K84"/>
    <mergeCell ref="J85:K85"/>
    <mergeCell ref="M84:N84"/>
    <mergeCell ref="M85:N85"/>
    <mergeCell ref="J82:K82"/>
    <mergeCell ref="J83:K83"/>
    <mergeCell ref="M82:N82"/>
    <mergeCell ref="M83:N83"/>
    <mergeCell ref="F72:G72"/>
    <mergeCell ref="F73:G73"/>
    <mergeCell ref="M86:N86"/>
    <mergeCell ref="R109:R140"/>
    <mergeCell ref="B110:E110"/>
    <mergeCell ref="B111:E111"/>
    <mergeCell ref="F111:H111"/>
    <mergeCell ref="L64:L65"/>
    <mergeCell ref="M64:N65"/>
    <mergeCell ref="M66:N66"/>
    <mergeCell ref="M67:N67"/>
    <mergeCell ref="M68:N68"/>
    <mergeCell ref="M69:N69"/>
    <mergeCell ref="B108:E108"/>
    <mergeCell ref="B109:E109"/>
    <mergeCell ref="B98:D98"/>
    <mergeCell ref="E98:I98"/>
    <mergeCell ref="R99:R108"/>
    <mergeCell ref="B102:D102"/>
    <mergeCell ref="B103:D104"/>
    <mergeCell ref="B105:D106"/>
    <mergeCell ref="A91:Q93"/>
    <mergeCell ref="B97:D97"/>
    <mergeCell ref="E97:I97"/>
    <mergeCell ref="I33:N33"/>
    <mergeCell ref="B64:B65"/>
    <mergeCell ref="F65:G65"/>
    <mergeCell ref="F66:G66"/>
    <mergeCell ref="F67:G67"/>
    <mergeCell ref="F68:G68"/>
    <mergeCell ref="F69:G69"/>
    <mergeCell ref="F70:G70"/>
    <mergeCell ref="F71:G71"/>
    <mergeCell ref="F58:G58"/>
    <mergeCell ref="I58:K58"/>
    <mergeCell ref="L58:N58"/>
    <mergeCell ref="F56:G56"/>
    <mergeCell ref="I56:K56"/>
    <mergeCell ref="L56:N56"/>
    <mergeCell ref="F57:G57"/>
    <mergeCell ref="I57:K57"/>
    <mergeCell ref="L57:N57"/>
    <mergeCell ref="F54:G54"/>
    <mergeCell ref="I54:K54"/>
    <mergeCell ref="L54:N54"/>
    <mergeCell ref="F55:G55"/>
    <mergeCell ref="I55:K55"/>
    <mergeCell ref="L55:N55"/>
  </mergeCells>
  <conditionalFormatting sqref="E66:E85">
    <cfRule type="cellIs" dxfId="115" priority="66" operator="equal">
      <formula>"Enhancement not possible"</formula>
    </cfRule>
  </conditionalFormatting>
  <conditionalFormatting sqref="E97:E98">
    <cfRule type="containsText" dxfId="114" priority="136" operator="containsText" text="Error - Trading Rules Not Satisfied">
      <formula>NOT(ISERROR(SEARCH("Error - Trading Rules Not Satisfied",E97)))</formula>
    </cfRule>
    <cfRule type="containsText" dxfId="113" priority="135" operator="containsText" text="Trading Rules Satisfied">
      <formula>NOT(ISERROR(SEARCH("Trading Rules Satisfied",E97)))</formula>
    </cfRule>
  </conditionalFormatting>
  <conditionalFormatting sqref="F39:F58">
    <cfRule type="expression" dxfId="112" priority="89">
      <formula>ISNUMBER(SEARCH(F39,E39,1))</formula>
    </cfRule>
    <cfRule type="containsBlanks" dxfId="111" priority="88" stopIfTrue="1">
      <formula>LEN(TRIM(F39))=0</formula>
    </cfRule>
  </conditionalFormatting>
  <conditionalFormatting sqref="F66:G85">
    <cfRule type="containsText" dxfId="110" priority="2" operator="containsText" text="not possible">
      <formula>NOT(ISERROR(SEARCH("not possible",F66)))</formula>
    </cfRule>
    <cfRule type="expression" dxfId="109" priority="65">
      <formula>$D66=""</formula>
    </cfRule>
  </conditionalFormatting>
  <conditionalFormatting sqref="I31">
    <cfRule type="cellIs" dxfId="108" priority="141" operator="greaterThan">
      <formula>5000</formula>
    </cfRule>
  </conditionalFormatting>
  <conditionalFormatting sqref="I86">
    <cfRule type="cellIs" dxfId="107" priority="110" operator="equal">
      <formula>"Any loss Unacceptable"</formula>
    </cfRule>
    <cfRule type="expression" dxfId="106" priority="112">
      <formula>"p18=""Avoid"""</formula>
    </cfRule>
  </conditionalFormatting>
  <conditionalFormatting sqref="I103:I106">
    <cfRule type="containsText" dxfId="105" priority="139" operator="containsText" text="Yes">
      <formula>NOT(ISERROR(SEARCH("Yes",I103)))</formula>
    </cfRule>
    <cfRule type="containsText" dxfId="104" priority="140" operator="containsText" text="No">
      <formula>NOT(ISERROR(SEARCH("No",I103)))</formula>
    </cfRule>
  </conditionalFormatting>
  <conditionalFormatting sqref="I109:I111">
    <cfRule type="containsText" dxfId="103" priority="134" operator="containsText" text="No">
      <formula>NOT(ISERROR(SEARCH("No",I109)))</formula>
    </cfRule>
    <cfRule type="containsText" dxfId="102" priority="133" operator="containsText" text="Yes">
      <formula>NOT(ISERROR(SEARCH("Yes",I109)))</formula>
    </cfRule>
  </conditionalFormatting>
  <conditionalFormatting sqref="I59:K59">
    <cfRule type="cellIs" dxfId="101" priority="5" operator="greaterThan">
      <formula>5000</formula>
    </cfRule>
  </conditionalFormatting>
  <conditionalFormatting sqref="I32:N32">
    <cfRule type="containsText" dxfId="100" priority="95" operator="containsText" text="acceptable">
      <formula>NOT(ISERROR(SEARCH("acceptable",I32)))</formula>
    </cfRule>
    <cfRule type="containsText" dxfId="99" priority="94" operator="containsText" text="error">
      <formula>NOT(ISERROR(SEARCH("error",I32)))</formula>
    </cfRule>
  </conditionalFormatting>
  <conditionalFormatting sqref="I33:N33">
    <cfRule type="containsText" dxfId="98" priority="8" operator="containsText" text="▲">
      <formula>NOT(ISERROR(SEARCH("▲",I33)))</formula>
    </cfRule>
    <cfRule type="containsText" dxfId="97" priority="9" operator="containsText" text="🗸">
      <formula>NOT(ISERROR(SEARCH("🗸",I33)))</formula>
    </cfRule>
  </conditionalFormatting>
  <conditionalFormatting sqref="I60:N60">
    <cfRule type="containsText" dxfId="96" priority="7" operator="containsText" text="🗸">
      <formula>NOT(ISERROR(SEARCH("🗸",I60)))</formula>
    </cfRule>
    <cfRule type="containsText" dxfId="95" priority="6" operator="containsText" text="▲">
      <formula>NOT(ISERROR(SEARCH("▲",I60)))</formula>
    </cfRule>
  </conditionalFormatting>
  <conditionalFormatting sqref="J2 O6:P6">
    <cfRule type="containsText" dxfId="94" priority="114" operator="containsText" text="Errors Present On Sheet">
      <formula>NOT(ISERROR(SEARCH("Errors Present On Sheet",J2)))</formula>
    </cfRule>
  </conditionalFormatting>
  <conditionalFormatting sqref="J2">
    <cfRule type="containsText" dxfId="93" priority="91" operator="containsText" text="Technical">
      <formula>NOT(ISERROR(SEARCH("Technical",J2)))</formula>
    </cfRule>
  </conditionalFormatting>
  <conditionalFormatting sqref="J66:L85">
    <cfRule type="containsText" dxfId="92" priority="3" operator="containsText" text="▲">
      <formula>NOT(ISERROR(SEARCH("▲",J66)))</formula>
    </cfRule>
  </conditionalFormatting>
  <conditionalFormatting sqref="K11:K30">
    <cfRule type="expression" dxfId="91" priority="96">
      <formula>$AI11="Enhancement not possible"</formula>
    </cfRule>
  </conditionalFormatting>
  <conditionalFormatting sqref="L11:L30">
    <cfRule type="containsText" dxfId="90" priority="33" operator="containsText" text="value">
      <formula>NOT(ISERROR(SEARCH("value",L11)))</formula>
    </cfRule>
    <cfRule type="containsText" dxfId="89" priority="32" operator="containsText" text="▲">
      <formula>NOT(ISERROR(SEARCH("▲",L11)))</formula>
    </cfRule>
  </conditionalFormatting>
  <conditionalFormatting sqref="L11:M30">
    <cfRule type="expression" dxfId="88" priority="47">
      <formula>"p18=""Avoid"""</formula>
    </cfRule>
    <cfRule type="cellIs" dxfId="87" priority="45" operator="equal">
      <formula>"Any loss Unacceptable"</formula>
    </cfRule>
  </conditionalFormatting>
  <conditionalFormatting sqref="L39:M58">
    <cfRule type="cellIs" dxfId="86" priority="22" operator="equal">
      <formula>"Alternative Compensation"</formula>
    </cfRule>
    <cfRule type="cellIs" dxfId="85" priority="23" operator="equal">
      <formula>"Unacceptable Loss"</formula>
    </cfRule>
    <cfRule type="cellIs" dxfId="84" priority="24" operator="equal">
      <formula>"Compensation Agreed"</formula>
    </cfRule>
  </conditionalFormatting>
  <conditionalFormatting sqref="L66:M85">
    <cfRule type="cellIs" dxfId="83" priority="13" operator="equal">
      <formula>"Compensation Agreed"</formula>
    </cfRule>
    <cfRule type="cellIs" dxfId="82" priority="12" operator="equal">
      <formula>"Unacceptable Loss"</formula>
    </cfRule>
    <cfRule type="cellIs" dxfId="81" priority="11" operator="equal">
      <formula>"Alternative Compensation"</formula>
    </cfRule>
  </conditionalFormatting>
  <conditionalFormatting sqref="L86:M86">
    <cfRule type="cellIs" dxfId="80" priority="107" operator="equal">
      <formula>"Any loss Unacceptable"</formula>
    </cfRule>
    <cfRule type="expression" dxfId="79" priority="109">
      <formula>"p18=""Avoid"""</formula>
    </cfRule>
  </conditionalFormatting>
  <conditionalFormatting sqref="L39:N58">
    <cfRule type="containsText" dxfId="78" priority="21" operator="containsText" text="value">
      <formula>NOT(ISERROR(SEARCH("value",L39)))</formula>
    </cfRule>
    <cfRule type="containsText" dxfId="77" priority="20" operator="containsText" text="▲">
      <formula>NOT(ISERROR(SEARCH("▲",L39)))</formula>
    </cfRule>
  </conditionalFormatting>
  <conditionalFormatting sqref="M11:N30">
    <cfRule type="containsText" dxfId="76" priority="34" operator="containsText" text="error">
      <formula>NOT(ISERROR(SEARCH("error",M11)))</formula>
    </cfRule>
  </conditionalFormatting>
  <conditionalFormatting sqref="M66:N85">
    <cfRule type="containsText" dxfId="75" priority="4" operator="containsText" text="Error">
      <formula>NOT(ISERROR(SEARCH("Error",M66)))</formula>
    </cfRule>
  </conditionalFormatting>
  <conditionalFormatting sqref="N11:N30">
    <cfRule type="containsText" dxfId="74" priority="31" operator="containsText" text="▲">
      <formula>NOT(ISERROR(SEARCH("▲",N11)))</formula>
    </cfRule>
    <cfRule type="cellIs" dxfId="73" priority="38" operator="equal">
      <formula>"Compensation Agreed"</formula>
    </cfRule>
    <cfRule type="cellIs" dxfId="72" priority="37" operator="equal">
      <formula>"Unacceptable Loss"</formula>
    </cfRule>
    <cfRule type="cellIs" dxfId="71" priority="36" operator="equal">
      <formula>"Alternative Compensation"</formula>
    </cfRule>
  </conditionalFormatting>
  <conditionalFormatting sqref="P1:P5">
    <cfRule type="containsText" dxfId="70" priority="1" operator="containsText" text="▲">
      <formula>NOT(ISERROR(SEARCH("▲",P1)))</formula>
    </cfRule>
  </conditionalFormatting>
  <conditionalFormatting sqref="X11:X30">
    <cfRule type="cellIs" dxfId="69" priority="166" operator="equal">
      <formula>"Not Possible"</formula>
    </cfRule>
  </conditionalFormatting>
  <conditionalFormatting sqref="X39:X58">
    <cfRule type="cellIs" dxfId="68" priority="113" operator="equal">
      <formula>"Not Possible"</formula>
    </cfRule>
  </conditionalFormatting>
  <conditionalFormatting sqref="AG11:AG30">
    <cfRule type="cellIs" dxfId="67" priority="163" operator="equal">
      <formula>"Unacceptable Loss"</formula>
    </cfRule>
  </conditionalFormatting>
  <conditionalFormatting sqref="AJ66:AJ85">
    <cfRule type="cellIs" dxfId="66" priority="64" operator="equal">
      <formula>"Not Possible"</formula>
    </cfRule>
  </conditionalFormatting>
  <dataValidations count="2">
    <dataValidation type="list" allowBlank="1" showInputMessage="1" showErrorMessage="1" sqref="D39:D58 D11:E30" xr:uid="{7D3D9B2A-BCB5-41E4-B5D3-E457E3DB4503}">
      <formula1>INDIRECT(SUBSTITUTE(C11," ",""))</formula1>
    </dataValidation>
    <dataValidation type="list" allowBlank="1" showInputMessage="1" showErrorMessage="1" sqref="F67:G85 F66:G66" xr:uid="{4A2C1BE2-CD6D-4762-A49A-AC126D34451A}">
      <formula1>INDIRECT(BV66)</formula1>
    </dataValidation>
  </dataValidations>
  <pageMargins left="0.7" right="0.7" top="0.75" bottom="0.75" header="0.3" footer="0.3"/>
  <pageSetup paperSize="9" scale="2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2C0E9C2-CEE1-4CB8-AE5E-A0B49E7D9DD3}">
          <x14:formula1>
            <xm:f>'11. Lists'!$F$36:$F$37</xm:f>
          </x14:formula1>
          <xm:sqref>H39:H58 H66:H85 F11:H30</xm:sqref>
        </x14:dataValidation>
        <x14:dataValidation type="list" allowBlank="1" showInputMessage="1" showErrorMessage="1" xr:uid="{3675A298-2DFD-47BB-8AD3-F19466E7358F}">
          <x14:formula1>
            <xm:f>'11. Lists'!$F$47:$F$51</xm:f>
          </x14:formula1>
          <xm:sqref>F39:F58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6D46-9318-4FB5-8390-2A31F88ADFD5}">
  <sheetPr codeName="Sheet4">
    <tabColor rgb="FF0033CC"/>
    <pageSetUpPr fitToPage="1"/>
  </sheetPr>
  <dimension ref="A1:CC138"/>
  <sheetViews>
    <sheetView zoomScale="80" zoomScaleNormal="80" workbookViewId="0"/>
  </sheetViews>
  <sheetFormatPr defaultColWidth="0" defaultRowHeight="15" zeroHeight="1" x14ac:dyDescent="0.25"/>
  <cols>
    <col min="1" max="1" width="4.5703125" customWidth="1"/>
    <col min="2" max="2" width="14.85546875" customWidth="1"/>
    <col min="3" max="3" width="24.42578125" bestFit="1" customWidth="1"/>
    <col min="4" max="4" width="40.140625" customWidth="1"/>
    <col min="5" max="5" width="27" customWidth="1"/>
    <col min="6" max="6" width="18.5703125" customWidth="1"/>
    <col min="7" max="7" width="39.7109375" customWidth="1"/>
    <col min="8" max="8" width="35.140625" customWidth="1"/>
    <col min="9" max="9" width="14.5703125" customWidth="1"/>
    <col min="10" max="10" width="12.7109375" customWidth="1"/>
    <col min="11" max="11" width="11.42578125" customWidth="1"/>
    <col min="12" max="12" width="13" customWidth="1"/>
    <col min="13" max="14" width="11.42578125" customWidth="1"/>
    <col min="15" max="16" width="27" customWidth="1"/>
    <col min="17" max="18" width="11.42578125" customWidth="1"/>
    <col min="19" max="19" width="7.140625" customWidth="1"/>
    <col min="20" max="20" width="14.42578125" customWidth="1"/>
    <col min="21" max="21" width="14.85546875" customWidth="1"/>
    <col min="22" max="22" width="20.7109375" bestFit="1" customWidth="1"/>
    <col min="23" max="23" width="23.7109375" customWidth="1"/>
    <col min="24" max="24" width="16.85546875" bestFit="1" customWidth="1"/>
    <col min="25" max="25" width="14" hidden="1" customWidth="1"/>
    <col min="26" max="26" width="21.28515625" hidden="1" customWidth="1"/>
    <col min="27" max="27" width="14" hidden="1" customWidth="1"/>
    <col min="28" max="28" width="33.7109375" customWidth="1"/>
    <col min="29" max="30" width="32.7109375" customWidth="1"/>
    <col min="31" max="31" width="18.7109375" customWidth="1"/>
    <col min="32" max="32" width="23.7109375" customWidth="1"/>
    <col min="33" max="33" width="16.7109375" customWidth="1"/>
    <col min="34" max="34" width="35.7109375" customWidth="1"/>
    <col min="35" max="35" width="76.28515625" customWidth="1"/>
    <col min="36" max="36" width="23.5703125" customWidth="1"/>
    <col min="37" max="37" width="23.5703125" hidden="1" customWidth="1"/>
    <col min="38" max="38" width="16.7109375" hidden="1" customWidth="1"/>
    <col min="39" max="39" width="13.28515625" hidden="1" customWidth="1"/>
    <col min="40" max="40" width="12.28515625" customWidth="1"/>
    <col min="41" max="41" width="34.140625" bestFit="1" customWidth="1"/>
    <col min="42" max="42" width="19.7109375" bestFit="1" customWidth="1"/>
    <col min="43" max="43" width="16.28515625" bestFit="1" customWidth="1"/>
    <col min="44" max="47" width="27.28515625" customWidth="1"/>
    <col min="48" max="48" width="21.140625" bestFit="1" customWidth="1"/>
    <col min="49" max="49" width="37.5703125" customWidth="1"/>
    <col min="50" max="50" width="68.28515625" customWidth="1"/>
    <col min="51" max="51" width="26.5703125" customWidth="1"/>
    <col min="52" max="52" width="24.42578125" customWidth="1"/>
    <col min="53" max="81" width="8.85546875" customWidth="1"/>
    <col min="82" max="16384" width="8.85546875" hidden="1"/>
  </cols>
  <sheetData>
    <row r="1" spans="1:35" s="26" customFormat="1" ht="15.75" customHeight="1" thickBot="1" x14ac:dyDescent="0.3">
      <c r="I1" s="53"/>
      <c r="J1" s="53"/>
      <c r="K1" s="53"/>
      <c r="L1" s="53"/>
      <c r="M1" s="53"/>
      <c r="N1" s="53"/>
      <c r="O1" s="160" t="s">
        <v>44</v>
      </c>
      <c r="P1" s="311">
        <f>IFERROR(SUM(AE11:AE30), "Error ▲")</f>
        <v>0</v>
      </c>
      <c r="R1" s="664" t="s">
        <v>45</v>
      </c>
      <c r="T1" s="27"/>
    </row>
    <row r="2" spans="1:35" s="26" customFormat="1" ht="19.899999999999999" customHeight="1" x14ac:dyDescent="0.3">
      <c r="B2" s="81" t="s">
        <v>1011</v>
      </c>
      <c r="C2" s="764" t="str">
        <f>IF('2. Site Details'!D4="","Enter site name on 2. Site Details",'2. Site Details'!D4)</f>
        <v>Land to Rear of 32 Church Street, Weldon</v>
      </c>
      <c r="D2" s="765"/>
      <c r="F2" s="706" t="s">
        <v>987</v>
      </c>
      <c r="G2" s="707"/>
      <c r="H2" s="708"/>
      <c r="I2" s="82"/>
      <c r="J2" s="719" t="str">
        <f>IFERROR(IF(SUM(O32:O34,O60,O87,J103:J104,J107:J111)&gt;0,"Rule Based Errors Present On Sheet - Red Cells Or ▲ Highlight Errors","All Key Rules Satisfied 🗸"),"Technical Errors On Sheet")</f>
        <v>All Key Rules Satisfied 🗸</v>
      </c>
      <c r="K2" s="719"/>
      <c r="L2" s="719"/>
      <c r="M2" s="719"/>
      <c r="N2" s="82"/>
      <c r="O2" s="84" t="s">
        <v>46</v>
      </c>
      <c r="P2" s="311">
        <f>IFERROR(N31, "Error ▲")</f>
        <v>0</v>
      </c>
      <c r="R2" s="664"/>
      <c r="T2" s="27"/>
    </row>
    <row r="3" spans="1:35" s="26" customFormat="1" ht="19.899999999999999" customHeight="1" thickBot="1" x14ac:dyDescent="0.35">
      <c r="B3" s="83" t="s">
        <v>7</v>
      </c>
      <c r="C3" s="766" t="s">
        <v>990</v>
      </c>
      <c r="D3" s="767"/>
      <c r="F3" s="709"/>
      <c r="G3" s="710"/>
      <c r="H3" s="711"/>
      <c r="I3" s="82"/>
      <c r="J3" s="719"/>
      <c r="K3" s="719"/>
      <c r="L3" s="719"/>
      <c r="M3" s="719"/>
      <c r="N3" s="82"/>
      <c r="O3" s="84" t="s">
        <v>47</v>
      </c>
      <c r="P3" s="311">
        <f>IFERROR(L59, "Error ▲")</f>
        <v>0</v>
      </c>
      <c r="R3" s="664"/>
      <c r="T3" s="27"/>
    </row>
    <row r="4" spans="1:35" s="26" customFormat="1" ht="19.899999999999999" customHeight="1" x14ac:dyDescent="0.25">
      <c r="B4" s="85"/>
      <c r="C4" s="85"/>
      <c r="D4" s="85"/>
      <c r="F4" s="709"/>
      <c r="G4" s="710"/>
      <c r="H4" s="711"/>
      <c r="I4" s="82"/>
      <c r="J4" s="719"/>
      <c r="K4" s="719"/>
      <c r="L4" s="719"/>
      <c r="M4" s="719"/>
      <c r="N4" s="82"/>
      <c r="O4" s="84" t="s">
        <v>48</v>
      </c>
      <c r="P4" s="311">
        <f>IFERROR(L86, "Error ▲")</f>
        <v>0</v>
      </c>
      <c r="R4" s="664"/>
      <c r="T4" s="27"/>
    </row>
    <row r="5" spans="1:35" s="26" customFormat="1" ht="19.899999999999999" customHeight="1" thickBot="1" x14ac:dyDescent="0.3">
      <c r="A5" s="86"/>
      <c r="F5" s="709"/>
      <c r="G5" s="710"/>
      <c r="H5" s="711"/>
      <c r="I5" s="82"/>
      <c r="J5" s="719"/>
      <c r="K5" s="719"/>
      <c r="L5" s="719"/>
      <c r="M5" s="719"/>
      <c r="N5" s="82"/>
      <c r="O5" s="87" t="s">
        <v>49</v>
      </c>
      <c r="P5" s="312">
        <f>IFERROR(P1+L59+L86-L31, "Error ▲")</f>
        <v>0</v>
      </c>
      <c r="R5" s="664"/>
      <c r="T5" s="27"/>
    </row>
    <row r="6" spans="1:35" s="26" customFormat="1" ht="13.15" customHeight="1" thickBot="1" x14ac:dyDescent="0.3">
      <c r="A6" s="86"/>
      <c r="F6" s="712"/>
      <c r="G6" s="713"/>
      <c r="H6" s="714"/>
      <c r="I6" s="53"/>
      <c r="J6" s="53"/>
      <c r="K6" s="27"/>
      <c r="L6" s="53"/>
      <c r="M6" s="53"/>
      <c r="N6" s="53"/>
      <c r="O6" s="88"/>
      <c r="P6" s="27"/>
      <c r="R6" s="664"/>
      <c r="T6" s="27"/>
    </row>
    <row r="7" spans="1:35" s="26" customFormat="1" ht="19.149999999999999" customHeight="1" x14ac:dyDescent="0.35">
      <c r="B7" s="58" t="s">
        <v>50</v>
      </c>
      <c r="D7" s="89"/>
      <c r="H7" s="27"/>
      <c r="K7" s="27"/>
      <c r="L7" s="31"/>
      <c r="M7" s="31"/>
      <c r="N7" s="31"/>
      <c r="R7" s="664"/>
      <c r="T7" s="27"/>
    </row>
    <row r="8" spans="1:35" s="26" customFormat="1" ht="10.9" customHeight="1" thickBot="1" x14ac:dyDescent="0.3">
      <c r="A8" s="90"/>
      <c r="R8" s="664"/>
    </row>
    <row r="9" spans="1:35" s="26" customFormat="1" ht="29.45" customHeight="1" thickBot="1" x14ac:dyDescent="0.3">
      <c r="A9" s="90"/>
      <c r="B9" s="672" t="s">
        <v>39</v>
      </c>
      <c r="C9" s="674" t="s">
        <v>51</v>
      </c>
      <c r="D9" s="679"/>
      <c r="E9" s="687"/>
      <c r="F9" s="692" t="s">
        <v>52</v>
      </c>
      <c r="G9" s="693"/>
      <c r="H9" s="694"/>
      <c r="I9" s="674" t="s">
        <v>188</v>
      </c>
      <c r="J9" s="679"/>
      <c r="K9" s="687"/>
      <c r="L9" s="691" t="s">
        <v>53</v>
      </c>
      <c r="M9" s="666"/>
      <c r="N9" s="667"/>
      <c r="O9" s="691" t="s">
        <v>54</v>
      </c>
      <c r="P9" s="667"/>
      <c r="R9" s="664"/>
      <c r="T9" s="603" t="s">
        <v>55</v>
      </c>
      <c r="U9" s="604"/>
      <c r="V9" s="605"/>
      <c r="W9" s="865" t="s">
        <v>56</v>
      </c>
      <c r="X9" s="866"/>
      <c r="Y9" s="699"/>
      <c r="Z9" s="699"/>
      <c r="AA9" s="699"/>
      <c r="AB9" s="865" t="s">
        <v>57</v>
      </c>
      <c r="AC9" s="867"/>
      <c r="AD9" s="866"/>
      <c r="AE9" s="603" t="s">
        <v>58</v>
      </c>
      <c r="AF9" s="604"/>
      <c r="AG9" s="605"/>
      <c r="AH9" s="603" t="s">
        <v>59</v>
      </c>
      <c r="AI9" s="605" t="s">
        <v>60</v>
      </c>
    </row>
    <row r="10" spans="1:35" s="26" customFormat="1" ht="32.25" thickBot="1" x14ac:dyDescent="0.3">
      <c r="A10" s="90"/>
      <c r="B10" s="673"/>
      <c r="C10" s="87" t="s">
        <v>61</v>
      </c>
      <c r="D10" s="616" t="s">
        <v>62</v>
      </c>
      <c r="E10" s="829"/>
      <c r="F10" s="695"/>
      <c r="G10" s="696"/>
      <c r="H10" s="697"/>
      <c r="I10" s="87" t="s">
        <v>189</v>
      </c>
      <c r="J10" s="218" t="s">
        <v>190</v>
      </c>
      <c r="K10" s="91" t="s">
        <v>191</v>
      </c>
      <c r="L10" s="457" t="s">
        <v>192</v>
      </c>
      <c r="M10" s="458" t="s">
        <v>193</v>
      </c>
      <c r="N10" s="459" t="s">
        <v>68</v>
      </c>
      <c r="O10" s="87" t="s">
        <v>69</v>
      </c>
      <c r="P10" s="91" t="s">
        <v>70</v>
      </c>
      <c r="R10" s="664"/>
      <c r="T10" s="601" t="s">
        <v>71</v>
      </c>
      <c r="U10" s="602"/>
      <c r="V10" s="93" t="s">
        <v>72</v>
      </c>
      <c r="W10" s="424" t="s">
        <v>73</v>
      </c>
      <c r="X10" s="420" t="s">
        <v>72</v>
      </c>
      <c r="Y10" s="422"/>
      <c r="Z10" s="415"/>
      <c r="AA10" s="415"/>
      <c r="AB10" s="404" t="s">
        <v>57</v>
      </c>
      <c r="AC10" s="404" t="s">
        <v>57</v>
      </c>
      <c r="AD10" s="420" t="s">
        <v>74</v>
      </c>
      <c r="AE10" s="92" t="s">
        <v>75</v>
      </c>
      <c r="AF10" s="50" t="s">
        <v>76</v>
      </c>
      <c r="AG10" s="93" t="s">
        <v>77</v>
      </c>
      <c r="AH10" s="601"/>
      <c r="AI10" s="773"/>
    </row>
    <row r="11" spans="1:35" s="26" customFormat="1" ht="15.75" x14ac:dyDescent="0.25">
      <c r="A11" s="90"/>
      <c r="B11" s="304">
        <v>1</v>
      </c>
      <c r="C11" s="143" t="s">
        <v>199</v>
      </c>
      <c r="D11" s="785"/>
      <c r="E11" s="786"/>
      <c r="F11" s="830"/>
      <c r="G11" s="831"/>
      <c r="H11" s="832"/>
      <c r="I11" s="348"/>
      <c r="J11" s="349"/>
      <c r="K11" s="350"/>
      <c r="L11" s="341" t="str">
        <f>IF(D11="","",IFERROR(IF(I11="","",((I11/1000)*V11*X11)*AD11),"This intervention is not permitted within the SSM ▲"))</f>
        <v/>
      </c>
      <c r="M11" s="360" t="str">
        <f>IF(I11="","",IF(J11+K11&gt;I11,"Length Error ▲",I11-J11-K11))</f>
        <v/>
      </c>
      <c r="N11" s="342" t="str">
        <f>IFERROR(IF(I11="","",IF(M11="Length Error ▲","Length Error ▲",((M11/1000)*V11*X11)*AD11)),"This intervention is not permitted within the SSM ▲")</f>
        <v/>
      </c>
      <c r="O11" s="69"/>
      <c r="P11" s="150"/>
      <c r="R11" s="664"/>
      <c r="T11" s="593" t="str">
        <f>IF(D11="","",VLOOKUP(D11,'9. All Habitats + Multipliers'!$C$4:$K$102,5,FALSE))</f>
        <v/>
      </c>
      <c r="U11" s="594"/>
      <c r="V11" s="98" t="str">
        <f>IF(T11="","",VLOOKUP(T11,'11. Lists'!$B$47:$D$49,2,FALSE))</f>
        <v/>
      </c>
      <c r="W11" s="94" t="str">
        <f>IF(D11="","",VLOOKUP(D11,'10. Condition and Temporal'!$B$6:$C$103,2,FALSE))</f>
        <v/>
      </c>
      <c r="X11" s="98" t="str">
        <f>IF(W11="","",VLOOKUP(W11,'11. Lists'!$F$47:$G$51,2,FALSE))</f>
        <v/>
      </c>
      <c r="Y11" s="423"/>
      <c r="Z11" s="392"/>
      <c r="AA11" s="421"/>
      <c r="AB11" s="96" t="str">
        <f>IF(F11="","",F11)</f>
        <v/>
      </c>
      <c r="AC11" s="96" t="str">
        <f>IF(AB11="","",VLOOKUP(AB11,'11. Lists'!$F$36:$H$38,2,FALSE))</f>
        <v/>
      </c>
      <c r="AD11" s="95" t="str">
        <f>IF(AB11="","",VLOOKUP(AB11,'11. Lists'!$F$36:$H$38,3,FALSE))</f>
        <v/>
      </c>
      <c r="AE11" s="344" t="str">
        <f>IF(D11="","",((J11/1000)*V11*X11)*AD11)</f>
        <v/>
      </c>
      <c r="AF11" s="345" t="str">
        <f>IF(D11="","",((K11/1000)*V11*X11)*AD11)</f>
        <v/>
      </c>
      <c r="AG11" s="346" t="str">
        <f>IF(D11="","",M11)</f>
        <v/>
      </c>
      <c r="AH11" s="94" t="str">
        <f>IF(T11="","",VLOOKUP(T11,'11. Lists'!$B$47:$D$49,3,FALSE))</f>
        <v/>
      </c>
      <c r="AI11" s="95" t="str">
        <f>IF(D11="","",VLOOKUP(D11,'10. Condition and Temporal'!$B$6:$L$103,4,FALSE))</f>
        <v/>
      </c>
    </row>
    <row r="12" spans="1:35" s="26" customFormat="1" ht="15.75" x14ac:dyDescent="0.25">
      <c r="B12" s="298">
        <v>2</v>
      </c>
      <c r="C12" s="142" t="s">
        <v>199</v>
      </c>
      <c r="D12" s="632"/>
      <c r="E12" s="633"/>
      <c r="F12" s="833"/>
      <c r="G12" s="834"/>
      <c r="H12" s="835"/>
      <c r="I12" s="351"/>
      <c r="J12" s="352"/>
      <c r="K12" s="353"/>
      <c r="L12" s="340" t="str">
        <f t="shared" ref="L12:L30" si="0">IF(D12="","",IFERROR(IF(I12="","",((I12/1000)*V12*X12)*AD12),"This intervention is not permitted within the SSM ▲"))</f>
        <v/>
      </c>
      <c r="M12" s="347" t="str">
        <f>IF(I12="","",IF(J12+K12&gt;I12,"Length Error ▲",I12-J12-K12))</f>
        <v/>
      </c>
      <c r="N12" s="336" t="str">
        <f t="shared" ref="N12:N30" si="1">IFERROR(IF(I12="","",IF(M12="Length Error ▲","Length Error ▲",((M12/1000)*V12*X12)*AD12)),"This intervention is not permitted within the SSM ▲")</f>
        <v/>
      </c>
      <c r="O12" s="69"/>
      <c r="P12" s="3"/>
      <c r="R12" s="664"/>
      <c r="T12" s="593" t="str">
        <f>IF(D12="","",VLOOKUP(D12,'9. All Habitats + Multipliers'!$C$4:$K$102,5,FALSE))</f>
        <v/>
      </c>
      <c r="U12" s="594"/>
      <c r="V12" s="98" t="str">
        <f>IF(T12="","",VLOOKUP(T12,'11. Lists'!$B$47:$D$49,2,FALSE))</f>
        <v/>
      </c>
      <c r="W12" s="94" t="str">
        <f>IF(D12="","",VLOOKUP(D12,'10. Condition and Temporal'!$B$6:$C$103,2,FALSE))</f>
        <v/>
      </c>
      <c r="X12" s="98" t="str">
        <f>IF(W12="","",VLOOKUP(W12,'11. Lists'!$F$47:$G$51,2,FALSE))</f>
        <v/>
      </c>
      <c r="Y12" s="423"/>
      <c r="Z12" s="392"/>
      <c r="AA12" s="421"/>
      <c r="AB12" s="96" t="str">
        <f>IF(F12="","",F12)</f>
        <v/>
      </c>
      <c r="AC12" s="96" t="str">
        <f>IF(AB12="","",VLOOKUP(AB12,'11. Lists'!$F$36:$H$38,2,FALSE))</f>
        <v/>
      </c>
      <c r="AD12" s="95" t="str">
        <f>IF(AB12="","",VLOOKUP(AB12,'11. Lists'!$F$36:$H$38,3,FALSE))</f>
        <v/>
      </c>
      <c r="AE12" s="344" t="str">
        <f t="shared" ref="AE12:AE30" si="2">IF(D12="","",((J12/1000)*V12*X12)*AD12)</f>
        <v/>
      </c>
      <c r="AF12" s="345" t="str">
        <f t="shared" ref="AF12:AF30" si="3">IF(D12="","",((K12/1000)*V12*X12)*AD12)</f>
        <v/>
      </c>
      <c r="AG12" s="346" t="str">
        <f t="shared" ref="AG12:AG30" si="4">IF(D12="","",M12)</f>
        <v/>
      </c>
      <c r="AH12" s="94" t="str">
        <f>IF(U12="","",VLOOKUP(U12,'11. Lists'!$B$47:$D$49,3,FALSE))</f>
        <v/>
      </c>
      <c r="AI12" s="95" t="str">
        <f>IF(D12="","",VLOOKUP(D12,'10. Condition and Temporal'!$B$6:$L$103,4,FALSE))</f>
        <v/>
      </c>
    </row>
    <row r="13" spans="1:35" s="26" customFormat="1" ht="15.75" x14ac:dyDescent="0.25">
      <c r="B13" s="298">
        <v>3</v>
      </c>
      <c r="C13" s="142" t="s">
        <v>199</v>
      </c>
      <c r="D13" s="632"/>
      <c r="E13" s="633"/>
      <c r="F13" s="833"/>
      <c r="G13" s="834"/>
      <c r="H13" s="835"/>
      <c r="I13" s="351"/>
      <c r="J13" s="352"/>
      <c r="K13" s="353"/>
      <c r="L13" s="340" t="str">
        <f t="shared" si="0"/>
        <v/>
      </c>
      <c r="M13" s="347" t="str">
        <f t="shared" ref="M13:M29" si="5">IF(I13="","",IF(J13+K13&gt;I13,"Length Error ▲",I13-J13-K13))</f>
        <v/>
      </c>
      <c r="N13" s="336" t="str">
        <f t="shared" si="1"/>
        <v/>
      </c>
      <c r="O13" s="69"/>
      <c r="P13" s="3"/>
      <c r="R13" s="664"/>
      <c r="T13" s="593" t="str">
        <f>IF(D13="","",VLOOKUP(D13,'9. All Habitats + Multipliers'!$C$4:$K$102,5,FALSE))</f>
        <v/>
      </c>
      <c r="U13" s="594"/>
      <c r="V13" s="98" t="str">
        <f>IF(T13="","",VLOOKUP(T13,'11. Lists'!$B$47:$D$49,2,FALSE))</f>
        <v/>
      </c>
      <c r="W13" s="94" t="str">
        <f>IF(D13="","",VLOOKUP(D13,'10. Condition and Temporal'!$B$6:$C$103,2,FALSE))</f>
        <v/>
      </c>
      <c r="X13" s="98" t="str">
        <f>IF(W13="","",VLOOKUP(W13,'11. Lists'!$F$47:$G$51,2,FALSE))</f>
        <v/>
      </c>
      <c r="Y13" s="423"/>
      <c r="Z13" s="392"/>
      <c r="AA13" s="421"/>
      <c r="AB13" s="96" t="str">
        <f t="shared" ref="AB13:AB30" si="6">IF(F13="","",F13)</f>
        <v/>
      </c>
      <c r="AC13" s="96" t="str">
        <f>IF(AB13="","",VLOOKUP(AB13,'11. Lists'!$F$36:$H$38,2,FALSE))</f>
        <v/>
      </c>
      <c r="AD13" s="95" t="str">
        <f>IF(AB13="","",VLOOKUP(AB13,'11. Lists'!$F$36:$H$38,3,FALSE))</f>
        <v/>
      </c>
      <c r="AE13" s="344" t="str">
        <f t="shared" si="2"/>
        <v/>
      </c>
      <c r="AF13" s="345" t="str">
        <f t="shared" si="3"/>
        <v/>
      </c>
      <c r="AG13" s="346" t="str">
        <f t="shared" si="4"/>
        <v/>
      </c>
      <c r="AH13" s="94" t="str">
        <f>IF(U13="","",VLOOKUP(U13,'11. Lists'!$B$47:$D$49,3,FALSE))</f>
        <v/>
      </c>
      <c r="AI13" s="95" t="str">
        <f>IF(D13="","",VLOOKUP(D13,'10. Condition and Temporal'!$B$6:$L$103,4,FALSE))</f>
        <v/>
      </c>
    </row>
    <row r="14" spans="1:35" s="26" customFormat="1" ht="15.75" x14ac:dyDescent="0.25">
      <c r="B14" s="298">
        <v>4</v>
      </c>
      <c r="C14" s="142" t="s">
        <v>199</v>
      </c>
      <c r="D14" s="632"/>
      <c r="E14" s="633"/>
      <c r="F14" s="833"/>
      <c r="G14" s="834"/>
      <c r="H14" s="835"/>
      <c r="I14" s="351"/>
      <c r="J14" s="352"/>
      <c r="K14" s="353"/>
      <c r="L14" s="340" t="str">
        <f t="shared" si="0"/>
        <v/>
      </c>
      <c r="M14" s="347" t="str">
        <f t="shared" si="5"/>
        <v/>
      </c>
      <c r="N14" s="336" t="str">
        <f t="shared" si="1"/>
        <v/>
      </c>
      <c r="O14" s="69"/>
      <c r="P14" s="3"/>
      <c r="R14" s="664"/>
      <c r="T14" s="593" t="str">
        <f>IF(D14="","",VLOOKUP(D14,'9. All Habitats + Multipliers'!$C$4:$K$102,5,FALSE))</f>
        <v/>
      </c>
      <c r="U14" s="594"/>
      <c r="V14" s="98" t="str">
        <f>IF(T14="","",VLOOKUP(T14,'11. Lists'!$B$47:$D$49,2,FALSE))</f>
        <v/>
      </c>
      <c r="W14" s="94" t="str">
        <f>IF(D14="","",VLOOKUP(D14,'10. Condition and Temporal'!$B$6:$C$103,2,FALSE))</f>
        <v/>
      </c>
      <c r="X14" s="98" t="str">
        <f>IF(W14="","",VLOOKUP(W14,'11. Lists'!$F$47:$G$51,2,FALSE))</f>
        <v/>
      </c>
      <c r="Y14" s="423"/>
      <c r="Z14" s="392"/>
      <c r="AA14" s="421"/>
      <c r="AB14" s="96" t="str">
        <f t="shared" si="6"/>
        <v/>
      </c>
      <c r="AC14" s="96" t="str">
        <f>IF(AB14="","",VLOOKUP(AB14,'11. Lists'!$F$36:$H$38,2,FALSE))</f>
        <v/>
      </c>
      <c r="AD14" s="95" t="str">
        <f>IF(AB14="","",VLOOKUP(AB14,'11. Lists'!$F$36:$H$38,3,FALSE))</f>
        <v/>
      </c>
      <c r="AE14" s="344" t="str">
        <f t="shared" si="2"/>
        <v/>
      </c>
      <c r="AF14" s="345" t="str">
        <f t="shared" si="3"/>
        <v/>
      </c>
      <c r="AG14" s="346" t="str">
        <f t="shared" si="4"/>
        <v/>
      </c>
      <c r="AH14" s="94" t="str">
        <f>IF(U14="","",VLOOKUP(U14,'11. Lists'!$B$47:$D$49,3,FALSE))</f>
        <v/>
      </c>
      <c r="AI14" s="95" t="str">
        <f>IF(D14="","",VLOOKUP(D14,'10. Condition and Temporal'!$B$6:$L$103,4,FALSE))</f>
        <v/>
      </c>
    </row>
    <row r="15" spans="1:35" s="26" customFormat="1" ht="15.75" x14ac:dyDescent="0.25">
      <c r="B15" s="298">
        <v>5</v>
      </c>
      <c r="C15" s="142" t="s">
        <v>199</v>
      </c>
      <c r="D15" s="632"/>
      <c r="E15" s="633"/>
      <c r="F15" s="833"/>
      <c r="G15" s="834"/>
      <c r="H15" s="835"/>
      <c r="I15" s="351"/>
      <c r="J15" s="352"/>
      <c r="K15" s="353"/>
      <c r="L15" s="340" t="str">
        <f t="shared" si="0"/>
        <v/>
      </c>
      <c r="M15" s="347" t="str">
        <f t="shared" si="5"/>
        <v/>
      </c>
      <c r="N15" s="336" t="str">
        <f t="shared" si="1"/>
        <v/>
      </c>
      <c r="O15" s="69"/>
      <c r="P15" s="3"/>
      <c r="R15" s="664"/>
      <c r="T15" s="593" t="str">
        <f>IF(D15="","",VLOOKUP(D15,'9. All Habitats + Multipliers'!$C$4:$K$102,5,FALSE))</f>
        <v/>
      </c>
      <c r="U15" s="594"/>
      <c r="V15" s="98" t="str">
        <f>IF(T15="","",VLOOKUP(T15,'11. Lists'!$B$47:$D$49,2,FALSE))</f>
        <v/>
      </c>
      <c r="W15" s="94" t="str">
        <f>IF(D15="","",VLOOKUP(D15,'10. Condition and Temporal'!$B$6:$C$103,2,FALSE))</f>
        <v/>
      </c>
      <c r="X15" s="98" t="str">
        <f>IF(W15="","",VLOOKUP(W15,'11. Lists'!$F$47:$G$51,2,FALSE))</f>
        <v/>
      </c>
      <c r="Y15" s="423"/>
      <c r="Z15" s="392"/>
      <c r="AA15" s="421"/>
      <c r="AB15" s="96" t="str">
        <f t="shared" si="6"/>
        <v/>
      </c>
      <c r="AC15" s="96" t="str">
        <f>IF(AB15="","",VLOOKUP(AB15,'11. Lists'!$F$36:$H$38,2,FALSE))</f>
        <v/>
      </c>
      <c r="AD15" s="95" t="str">
        <f>IF(AB15="","",VLOOKUP(AB15,'11. Lists'!$F$36:$H$38,3,FALSE))</f>
        <v/>
      </c>
      <c r="AE15" s="344" t="str">
        <f t="shared" si="2"/>
        <v/>
      </c>
      <c r="AF15" s="345" t="str">
        <f t="shared" si="3"/>
        <v/>
      </c>
      <c r="AG15" s="346" t="str">
        <f t="shared" si="4"/>
        <v/>
      </c>
      <c r="AH15" s="94" t="str">
        <f>IF(U15="","",VLOOKUP(U15,'11. Lists'!$B$47:$D$49,3,FALSE))</f>
        <v/>
      </c>
      <c r="AI15" s="95" t="str">
        <f>IF(D15="","",VLOOKUP(D15,'10. Condition and Temporal'!$B$6:$L$103,4,FALSE))</f>
        <v/>
      </c>
    </row>
    <row r="16" spans="1:35" s="26" customFormat="1" ht="15.75" x14ac:dyDescent="0.25">
      <c r="B16" s="298">
        <v>6</v>
      </c>
      <c r="C16" s="142" t="s">
        <v>199</v>
      </c>
      <c r="D16" s="632"/>
      <c r="E16" s="633"/>
      <c r="F16" s="833"/>
      <c r="G16" s="834"/>
      <c r="H16" s="835"/>
      <c r="I16" s="351"/>
      <c r="J16" s="352"/>
      <c r="K16" s="353"/>
      <c r="L16" s="340" t="str">
        <f t="shared" si="0"/>
        <v/>
      </c>
      <c r="M16" s="347" t="str">
        <f t="shared" si="5"/>
        <v/>
      </c>
      <c r="N16" s="336" t="str">
        <f t="shared" si="1"/>
        <v/>
      </c>
      <c r="O16" s="69"/>
      <c r="P16" s="3"/>
      <c r="R16" s="664"/>
      <c r="T16" s="593" t="str">
        <f>IF(D16="","",VLOOKUP(D16,'9. All Habitats + Multipliers'!$C$4:$K$102,5,FALSE))</f>
        <v/>
      </c>
      <c r="U16" s="594"/>
      <c r="V16" s="98" t="str">
        <f>IF(T16="","",VLOOKUP(T16,'11. Lists'!$B$47:$D$49,2,FALSE))</f>
        <v/>
      </c>
      <c r="W16" s="94" t="str">
        <f>IF(D16="","",VLOOKUP(D16,'10. Condition and Temporal'!$B$6:$C$103,2,FALSE))</f>
        <v/>
      </c>
      <c r="X16" s="98" t="str">
        <f>IF(W16="","",VLOOKUP(W16,'11. Lists'!$F$47:$G$51,2,FALSE))</f>
        <v/>
      </c>
      <c r="Y16" s="423"/>
      <c r="Z16" s="392"/>
      <c r="AA16" s="421"/>
      <c r="AB16" s="96" t="str">
        <f t="shared" si="6"/>
        <v/>
      </c>
      <c r="AC16" s="96" t="str">
        <f>IF(AB16="","",VLOOKUP(AB16,'11. Lists'!$F$36:$H$38,2,FALSE))</f>
        <v/>
      </c>
      <c r="AD16" s="95" t="str">
        <f>IF(AB16="","",VLOOKUP(AB16,'11. Lists'!$F$36:$H$38,3,FALSE))</f>
        <v/>
      </c>
      <c r="AE16" s="344" t="str">
        <f t="shared" si="2"/>
        <v/>
      </c>
      <c r="AF16" s="345" t="str">
        <f t="shared" si="3"/>
        <v/>
      </c>
      <c r="AG16" s="346" t="str">
        <f t="shared" si="4"/>
        <v/>
      </c>
      <c r="AH16" s="94" t="str">
        <f>IF(U16="","",VLOOKUP(U16,'11. Lists'!$B$47:$D$49,3,FALSE))</f>
        <v/>
      </c>
      <c r="AI16" s="95" t="str">
        <f>IF(D16="","",VLOOKUP(D16,'10. Condition and Temporal'!$B$6:$L$103,4,FALSE))</f>
        <v/>
      </c>
    </row>
    <row r="17" spans="2:35" s="26" customFormat="1" ht="15.75" x14ac:dyDescent="0.25">
      <c r="B17" s="298">
        <v>7</v>
      </c>
      <c r="C17" s="142" t="s">
        <v>199</v>
      </c>
      <c r="D17" s="632"/>
      <c r="E17" s="633"/>
      <c r="F17" s="833"/>
      <c r="G17" s="834"/>
      <c r="H17" s="835"/>
      <c r="I17" s="351"/>
      <c r="J17" s="352"/>
      <c r="K17" s="353"/>
      <c r="L17" s="340" t="str">
        <f t="shared" si="0"/>
        <v/>
      </c>
      <c r="M17" s="347" t="str">
        <f t="shared" si="5"/>
        <v/>
      </c>
      <c r="N17" s="336" t="str">
        <f t="shared" si="1"/>
        <v/>
      </c>
      <c r="O17" s="69"/>
      <c r="P17" s="3"/>
      <c r="R17" s="664"/>
      <c r="T17" s="593" t="str">
        <f>IF(D17="","",VLOOKUP(D17,'9. All Habitats + Multipliers'!$C$4:$K$102,5,FALSE))</f>
        <v/>
      </c>
      <c r="U17" s="594"/>
      <c r="V17" s="98" t="str">
        <f>IF(T17="","",VLOOKUP(T17,'11. Lists'!$B$47:$D$49,2,FALSE))</f>
        <v/>
      </c>
      <c r="W17" s="94" t="str">
        <f>IF(D17="","",VLOOKUP(D17,'10. Condition and Temporal'!$B$6:$C$103,2,FALSE))</f>
        <v/>
      </c>
      <c r="X17" s="98" t="str">
        <f>IF(W17="","",VLOOKUP(W17,'11. Lists'!$F$47:$G$51,2,FALSE))</f>
        <v/>
      </c>
      <c r="Y17" s="423"/>
      <c r="Z17" s="392"/>
      <c r="AA17" s="421"/>
      <c r="AB17" s="96" t="str">
        <f t="shared" si="6"/>
        <v/>
      </c>
      <c r="AC17" s="96" t="str">
        <f>IF(AB17="","",VLOOKUP(AB17,'11. Lists'!$F$36:$H$38,2,FALSE))</f>
        <v/>
      </c>
      <c r="AD17" s="95" t="str">
        <f>IF(AB17="","",VLOOKUP(AB17,'11. Lists'!$F$36:$H$38,3,FALSE))</f>
        <v/>
      </c>
      <c r="AE17" s="344" t="str">
        <f t="shared" si="2"/>
        <v/>
      </c>
      <c r="AF17" s="345" t="str">
        <f t="shared" si="3"/>
        <v/>
      </c>
      <c r="AG17" s="346" t="str">
        <f t="shared" si="4"/>
        <v/>
      </c>
      <c r="AH17" s="94" t="str">
        <f>IF(U17="","",VLOOKUP(U17,'11. Lists'!$B$47:$D$49,3,FALSE))</f>
        <v/>
      </c>
      <c r="AI17" s="95" t="str">
        <f>IF(D17="","",VLOOKUP(D17,'10. Condition and Temporal'!$B$6:$L$103,4,FALSE))</f>
        <v/>
      </c>
    </row>
    <row r="18" spans="2:35" s="26" customFormat="1" ht="15.75" x14ac:dyDescent="0.25">
      <c r="B18" s="298">
        <v>8</v>
      </c>
      <c r="C18" s="142" t="s">
        <v>199</v>
      </c>
      <c r="D18" s="632"/>
      <c r="E18" s="633"/>
      <c r="F18" s="833"/>
      <c r="G18" s="834"/>
      <c r="H18" s="835"/>
      <c r="I18" s="351"/>
      <c r="J18" s="352"/>
      <c r="K18" s="353"/>
      <c r="L18" s="340" t="str">
        <f t="shared" si="0"/>
        <v/>
      </c>
      <c r="M18" s="347" t="str">
        <f t="shared" si="5"/>
        <v/>
      </c>
      <c r="N18" s="336" t="str">
        <f t="shared" si="1"/>
        <v/>
      </c>
      <c r="O18" s="69"/>
      <c r="P18" s="3"/>
      <c r="R18" s="664"/>
      <c r="T18" s="593" t="str">
        <f>IF(D18="","",VLOOKUP(D18,'9. All Habitats + Multipliers'!$C$4:$K$102,5,FALSE))</f>
        <v/>
      </c>
      <c r="U18" s="594"/>
      <c r="V18" s="98" t="str">
        <f>IF(T18="","",VLOOKUP(T18,'11. Lists'!$B$47:$D$49,2,FALSE))</f>
        <v/>
      </c>
      <c r="W18" s="94" t="str">
        <f>IF(D18="","",VLOOKUP(D18,'10. Condition and Temporal'!$B$6:$C$103,2,FALSE))</f>
        <v/>
      </c>
      <c r="X18" s="98" t="str">
        <f>IF(W18="","",VLOOKUP(W18,'11. Lists'!$F$47:$G$51,2,FALSE))</f>
        <v/>
      </c>
      <c r="Y18" s="423"/>
      <c r="Z18" s="392"/>
      <c r="AA18" s="421"/>
      <c r="AB18" s="96" t="str">
        <f t="shared" si="6"/>
        <v/>
      </c>
      <c r="AC18" s="96" t="str">
        <f>IF(AB18="","",VLOOKUP(AB18,'11. Lists'!$F$36:$H$38,2,FALSE))</f>
        <v/>
      </c>
      <c r="AD18" s="95" t="str">
        <f>IF(AB18="","",VLOOKUP(AB18,'11. Lists'!$F$36:$H$38,3,FALSE))</f>
        <v/>
      </c>
      <c r="AE18" s="344" t="str">
        <f t="shared" si="2"/>
        <v/>
      </c>
      <c r="AF18" s="345" t="str">
        <f t="shared" si="3"/>
        <v/>
      </c>
      <c r="AG18" s="346" t="str">
        <f t="shared" si="4"/>
        <v/>
      </c>
      <c r="AH18" s="94" t="str">
        <f>IF(U18="","",VLOOKUP(U18,'11. Lists'!$B$47:$D$49,3,FALSE))</f>
        <v/>
      </c>
      <c r="AI18" s="95" t="str">
        <f>IF(D18="","",VLOOKUP(D18,'10. Condition and Temporal'!$B$6:$L$103,4,FALSE))</f>
        <v/>
      </c>
    </row>
    <row r="19" spans="2:35" s="26" customFormat="1" ht="15.75" x14ac:dyDescent="0.25">
      <c r="B19" s="298">
        <v>9</v>
      </c>
      <c r="C19" s="142" t="s">
        <v>199</v>
      </c>
      <c r="D19" s="632"/>
      <c r="E19" s="633"/>
      <c r="F19" s="833"/>
      <c r="G19" s="834"/>
      <c r="H19" s="835"/>
      <c r="I19" s="351"/>
      <c r="J19" s="352"/>
      <c r="K19" s="353"/>
      <c r="L19" s="340" t="str">
        <f t="shared" si="0"/>
        <v/>
      </c>
      <c r="M19" s="347" t="str">
        <f t="shared" si="5"/>
        <v/>
      </c>
      <c r="N19" s="336" t="str">
        <f t="shared" si="1"/>
        <v/>
      </c>
      <c r="O19" s="69"/>
      <c r="P19" s="3"/>
      <c r="R19" s="664"/>
      <c r="T19" s="593" t="str">
        <f>IF(D19="","",VLOOKUP(D19,'9. All Habitats + Multipliers'!$C$4:$K$102,5,FALSE))</f>
        <v/>
      </c>
      <c r="U19" s="594"/>
      <c r="V19" s="98" t="str">
        <f>IF(T19="","",VLOOKUP(T19,'11. Lists'!$B$47:$D$49,2,FALSE))</f>
        <v/>
      </c>
      <c r="W19" s="94" t="str">
        <f>IF(D19="","",VLOOKUP(D19,'10. Condition and Temporal'!$B$6:$C$103,2,FALSE))</f>
        <v/>
      </c>
      <c r="X19" s="98" t="str">
        <f>IF(W19="","",VLOOKUP(W19,'11. Lists'!$F$47:$G$51,2,FALSE))</f>
        <v/>
      </c>
      <c r="Y19" s="423"/>
      <c r="Z19" s="392"/>
      <c r="AA19" s="421"/>
      <c r="AB19" s="96" t="str">
        <f t="shared" si="6"/>
        <v/>
      </c>
      <c r="AC19" s="96" t="str">
        <f>IF(AB19="","",VLOOKUP(AB19,'11. Lists'!$F$36:$H$38,2,FALSE))</f>
        <v/>
      </c>
      <c r="AD19" s="95" t="str">
        <f>IF(AB19="","",VLOOKUP(AB19,'11. Lists'!$F$36:$H$38,3,FALSE))</f>
        <v/>
      </c>
      <c r="AE19" s="344" t="str">
        <f t="shared" si="2"/>
        <v/>
      </c>
      <c r="AF19" s="345" t="str">
        <f t="shared" si="3"/>
        <v/>
      </c>
      <c r="AG19" s="346" t="str">
        <f t="shared" si="4"/>
        <v/>
      </c>
      <c r="AH19" s="94" t="str">
        <f>IF(U19="","",VLOOKUP(U19,'11. Lists'!$B$47:$D$49,3,FALSE))</f>
        <v/>
      </c>
      <c r="AI19" s="95" t="str">
        <f>IF(D19="","",VLOOKUP(D19,'10. Condition and Temporal'!$B$6:$L$103,4,FALSE))</f>
        <v/>
      </c>
    </row>
    <row r="20" spans="2:35" s="26" customFormat="1" ht="15.75" x14ac:dyDescent="0.25">
      <c r="B20" s="298">
        <v>10</v>
      </c>
      <c r="C20" s="142" t="s">
        <v>199</v>
      </c>
      <c r="D20" s="632"/>
      <c r="E20" s="633"/>
      <c r="F20" s="833"/>
      <c r="G20" s="834"/>
      <c r="H20" s="835"/>
      <c r="I20" s="351"/>
      <c r="J20" s="352"/>
      <c r="K20" s="353"/>
      <c r="L20" s="340" t="str">
        <f t="shared" si="0"/>
        <v/>
      </c>
      <c r="M20" s="347" t="str">
        <f t="shared" si="5"/>
        <v/>
      </c>
      <c r="N20" s="336" t="str">
        <f t="shared" si="1"/>
        <v/>
      </c>
      <c r="O20" s="69"/>
      <c r="P20" s="8"/>
      <c r="R20" s="664"/>
      <c r="T20" s="593" t="str">
        <f>IF(D20="","",VLOOKUP(D20,'9. All Habitats + Multipliers'!$C$4:$K$102,5,FALSE))</f>
        <v/>
      </c>
      <c r="U20" s="594"/>
      <c r="V20" s="98" t="str">
        <f>IF(T20="","",VLOOKUP(T20,'11. Lists'!$B$47:$D$49,2,FALSE))</f>
        <v/>
      </c>
      <c r="W20" s="94" t="str">
        <f>IF(D20="","",VLOOKUP(D20,'10. Condition and Temporal'!$B$6:$C$103,2,FALSE))</f>
        <v/>
      </c>
      <c r="X20" s="98" t="str">
        <f>IF(W20="","",VLOOKUP(W20,'11. Lists'!$F$47:$G$51,2,FALSE))</f>
        <v/>
      </c>
      <c r="Y20" s="423"/>
      <c r="Z20" s="392"/>
      <c r="AA20" s="421"/>
      <c r="AB20" s="96" t="str">
        <f t="shared" si="6"/>
        <v/>
      </c>
      <c r="AC20" s="96" t="str">
        <f>IF(AB20="","",VLOOKUP(AB20,'11. Lists'!$F$36:$H$38,2,FALSE))</f>
        <v/>
      </c>
      <c r="AD20" s="95" t="str">
        <f>IF(AB20="","",VLOOKUP(AB20,'11. Lists'!$F$36:$H$38,3,FALSE))</f>
        <v/>
      </c>
      <c r="AE20" s="344" t="str">
        <f t="shared" si="2"/>
        <v/>
      </c>
      <c r="AF20" s="345" t="str">
        <f t="shared" si="3"/>
        <v/>
      </c>
      <c r="AG20" s="346" t="str">
        <f t="shared" si="4"/>
        <v/>
      </c>
      <c r="AH20" s="94" t="str">
        <f>IF(U20="","",VLOOKUP(U20,'11. Lists'!$B$47:$D$49,3,FALSE))</f>
        <v/>
      </c>
      <c r="AI20" s="95" t="str">
        <f>IF(D20="","",VLOOKUP(D20,'10. Condition and Temporal'!$B$6:$L$103,4,FALSE))</f>
        <v/>
      </c>
    </row>
    <row r="21" spans="2:35" s="26" customFormat="1" ht="15.75" x14ac:dyDescent="0.25">
      <c r="B21" s="298">
        <v>11</v>
      </c>
      <c r="C21" s="142" t="s">
        <v>199</v>
      </c>
      <c r="D21" s="632"/>
      <c r="E21" s="633"/>
      <c r="F21" s="833"/>
      <c r="G21" s="834"/>
      <c r="H21" s="835"/>
      <c r="I21" s="351"/>
      <c r="J21" s="352"/>
      <c r="K21" s="353"/>
      <c r="L21" s="340" t="str">
        <f t="shared" si="0"/>
        <v/>
      </c>
      <c r="M21" s="347" t="str">
        <f t="shared" si="5"/>
        <v/>
      </c>
      <c r="N21" s="336" t="str">
        <f t="shared" si="1"/>
        <v/>
      </c>
      <c r="O21" s="69"/>
      <c r="P21" s="8"/>
      <c r="R21" s="664"/>
      <c r="T21" s="593" t="str">
        <f>IF(D21="","",VLOOKUP(D21,'9. All Habitats + Multipliers'!$C$4:$K$102,5,FALSE))</f>
        <v/>
      </c>
      <c r="U21" s="594"/>
      <c r="V21" s="98" t="str">
        <f>IF(T21="","",VLOOKUP(T21,'11. Lists'!$B$47:$D$49,2,FALSE))</f>
        <v/>
      </c>
      <c r="W21" s="94" t="str">
        <f>IF(D21="","",VLOOKUP(D21,'10. Condition and Temporal'!$B$6:$C$103,2,FALSE))</f>
        <v/>
      </c>
      <c r="X21" s="98" t="str">
        <f>IF(W21="","",VLOOKUP(W21,'11. Lists'!$F$47:$G$51,2,FALSE))</f>
        <v/>
      </c>
      <c r="Y21" s="423"/>
      <c r="Z21" s="392"/>
      <c r="AA21" s="421"/>
      <c r="AB21" s="96" t="str">
        <f t="shared" si="6"/>
        <v/>
      </c>
      <c r="AC21" s="96" t="str">
        <f>IF(AB21="","",VLOOKUP(AB21,'11. Lists'!$F$36:$H$38,2,FALSE))</f>
        <v/>
      </c>
      <c r="AD21" s="95" t="str">
        <f>IF(AB21="","",VLOOKUP(AB21,'11. Lists'!$F$36:$H$38,3,FALSE))</f>
        <v/>
      </c>
      <c r="AE21" s="344" t="str">
        <f t="shared" si="2"/>
        <v/>
      </c>
      <c r="AF21" s="345" t="str">
        <f t="shared" si="3"/>
        <v/>
      </c>
      <c r="AG21" s="346" t="str">
        <f t="shared" si="4"/>
        <v/>
      </c>
      <c r="AH21" s="94" t="str">
        <f>IF(U21="","",VLOOKUP(U21,'11. Lists'!$B$47:$D$49,3,FALSE))</f>
        <v/>
      </c>
      <c r="AI21" s="95" t="str">
        <f>IF(D21="","",VLOOKUP(D21,'10. Condition and Temporal'!$B$6:$L$103,4,FALSE))</f>
        <v/>
      </c>
    </row>
    <row r="22" spans="2:35" s="26" customFormat="1" ht="15.75" x14ac:dyDescent="0.25">
      <c r="B22" s="298">
        <v>12</v>
      </c>
      <c r="C22" s="142" t="s">
        <v>199</v>
      </c>
      <c r="D22" s="632"/>
      <c r="E22" s="633"/>
      <c r="F22" s="833"/>
      <c r="G22" s="834"/>
      <c r="H22" s="835"/>
      <c r="I22" s="351"/>
      <c r="J22" s="352"/>
      <c r="K22" s="353"/>
      <c r="L22" s="340" t="str">
        <f t="shared" si="0"/>
        <v/>
      </c>
      <c r="M22" s="347" t="str">
        <f t="shared" si="5"/>
        <v/>
      </c>
      <c r="N22" s="336" t="str">
        <f t="shared" si="1"/>
        <v/>
      </c>
      <c r="O22" s="69"/>
      <c r="P22" s="8"/>
      <c r="R22" s="664"/>
      <c r="T22" s="593" t="str">
        <f>IF(D22="","",VLOOKUP(D22,'9. All Habitats + Multipliers'!$C$4:$K$102,5,FALSE))</f>
        <v/>
      </c>
      <c r="U22" s="594"/>
      <c r="V22" s="98" t="str">
        <f>IF(T22="","",VLOOKUP(T22,'11. Lists'!$B$47:$D$49,2,FALSE))</f>
        <v/>
      </c>
      <c r="W22" s="94" t="str">
        <f>IF(D22="","",VLOOKUP(D22,'10. Condition and Temporal'!$B$6:$C$103,2,FALSE))</f>
        <v/>
      </c>
      <c r="X22" s="98" t="str">
        <f>IF(W22="","",VLOOKUP(W22,'11. Lists'!$F$47:$G$51,2,FALSE))</f>
        <v/>
      </c>
      <c r="Y22" s="423"/>
      <c r="Z22" s="392"/>
      <c r="AA22" s="421"/>
      <c r="AB22" s="96" t="str">
        <f t="shared" si="6"/>
        <v/>
      </c>
      <c r="AC22" s="96" t="str">
        <f>IF(AB22="","",VLOOKUP(AB22,'11. Lists'!$F$36:$H$38,2,FALSE))</f>
        <v/>
      </c>
      <c r="AD22" s="95" t="str">
        <f>IF(AB22="","",VLOOKUP(AB22,'11. Lists'!$F$36:$H$38,3,FALSE))</f>
        <v/>
      </c>
      <c r="AE22" s="344" t="str">
        <f t="shared" si="2"/>
        <v/>
      </c>
      <c r="AF22" s="345" t="str">
        <f t="shared" si="3"/>
        <v/>
      </c>
      <c r="AG22" s="346" t="str">
        <f t="shared" si="4"/>
        <v/>
      </c>
      <c r="AH22" s="94" t="str">
        <f>IF(U22="","",VLOOKUP(U22,'11. Lists'!$B$47:$D$49,3,FALSE))</f>
        <v/>
      </c>
      <c r="AI22" s="95" t="str">
        <f>IF(D22="","",VLOOKUP(D22,'10. Condition and Temporal'!$B$6:$L$103,4,FALSE))</f>
        <v/>
      </c>
    </row>
    <row r="23" spans="2:35" s="26" customFormat="1" ht="15.75" x14ac:dyDescent="0.25">
      <c r="B23" s="298">
        <v>13</v>
      </c>
      <c r="C23" s="142" t="s">
        <v>199</v>
      </c>
      <c r="D23" s="632"/>
      <c r="E23" s="633"/>
      <c r="F23" s="833"/>
      <c r="G23" s="834"/>
      <c r="H23" s="835"/>
      <c r="I23" s="351"/>
      <c r="J23" s="352"/>
      <c r="K23" s="353"/>
      <c r="L23" s="340" t="str">
        <f t="shared" si="0"/>
        <v/>
      </c>
      <c r="M23" s="347" t="str">
        <f t="shared" si="5"/>
        <v/>
      </c>
      <c r="N23" s="336" t="str">
        <f t="shared" si="1"/>
        <v/>
      </c>
      <c r="O23" s="69"/>
      <c r="P23" s="8"/>
      <c r="R23" s="664"/>
      <c r="T23" s="593" t="str">
        <f>IF(D23="","",VLOOKUP(D23,'9. All Habitats + Multipliers'!$C$4:$K$102,5,FALSE))</f>
        <v/>
      </c>
      <c r="U23" s="594"/>
      <c r="V23" s="98" t="str">
        <f>IF(T23="","",VLOOKUP(T23,'11. Lists'!$B$47:$D$49,2,FALSE))</f>
        <v/>
      </c>
      <c r="W23" s="94" t="str">
        <f>IF(D23="","",VLOOKUP(D23,'10. Condition and Temporal'!$B$6:$C$103,2,FALSE))</f>
        <v/>
      </c>
      <c r="X23" s="98" t="str">
        <f>IF(W23="","",VLOOKUP(W23,'11. Lists'!$F$47:$G$51,2,FALSE))</f>
        <v/>
      </c>
      <c r="Y23" s="423"/>
      <c r="Z23" s="392"/>
      <c r="AA23" s="421"/>
      <c r="AB23" s="96" t="str">
        <f t="shared" si="6"/>
        <v/>
      </c>
      <c r="AC23" s="96" t="str">
        <f>IF(AB23="","",VLOOKUP(AB23,'11. Lists'!$F$36:$H$38,2,FALSE))</f>
        <v/>
      </c>
      <c r="AD23" s="95" t="str">
        <f>IF(AB23="","",VLOOKUP(AB23,'11. Lists'!$F$36:$H$38,3,FALSE))</f>
        <v/>
      </c>
      <c r="AE23" s="344" t="str">
        <f t="shared" si="2"/>
        <v/>
      </c>
      <c r="AF23" s="345" t="str">
        <f t="shared" si="3"/>
        <v/>
      </c>
      <c r="AG23" s="346" t="str">
        <f t="shared" si="4"/>
        <v/>
      </c>
      <c r="AH23" s="94" t="str">
        <f>IF(U23="","",VLOOKUP(U23,'11. Lists'!$B$47:$D$49,3,FALSE))</f>
        <v/>
      </c>
      <c r="AI23" s="95" t="str">
        <f>IF(D23="","",VLOOKUP(D23,'10. Condition and Temporal'!$B$6:$L$103,4,FALSE))</f>
        <v/>
      </c>
    </row>
    <row r="24" spans="2:35" s="26" customFormat="1" ht="15.75" x14ac:dyDescent="0.25">
      <c r="B24" s="298">
        <v>14</v>
      </c>
      <c r="C24" s="142" t="s">
        <v>199</v>
      </c>
      <c r="D24" s="632"/>
      <c r="E24" s="633"/>
      <c r="F24" s="833"/>
      <c r="G24" s="834"/>
      <c r="H24" s="835"/>
      <c r="I24" s="351"/>
      <c r="J24" s="352"/>
      <c r="K24" s="353"/>
      <c r="L24" s="340" t="str">
        <f t="shared" si="0"/>
        <v/>
      </c>
      <c r="M24" s="347" t="str">
        <f t="shared" si="5"/>
        <v/>
      </c>
      <c r="N24" s="336" t="str">
        <f t="shared" si="1"/>
        <v/>
      </c>
      <c r="O24" s="69"/>
      <c r="P24" s="8"/>
      <c r="R24" s="664"/>
      <c r="T24" s="593" t="str">
        <f>IF(D24="","",VLOOKUP(D24,'9. All Habitats + Multipliers'!$C$4:$K$102,5,FALSE))</f>
        <v/>
      </c>
      <c r="U24" s="594"/>
      <c r="V24" s="98" t="str">
        <f>IF(T24="","",VLOOKUP(T24,'11. Lists'!$B$47:$D$49,2,FALSE))</f>
        <v/>
      </c>
      <c r="W24" s="94" t="str">
        <f>IF(D24="","",VLOOKUP(D24,'10. Condition and Temporal'!$B$6:$C$103,2,FALSE))</f>
        <v/>
      </c>
      <c r="X24" s="98" t="str">
        <f>IF(W24="","",VLOOKUP(W24,'11. Lists'!$F$47:$G$51,2,FALSE))</f>
        <v/>
      </c>
      <c r="Y24" s="423"/>
      <c r="Z24" s="392"/>
      <c r="AA24" s="421"/>
      <c r="AB24" s="96" t="str">
        <f t="shared" si="6"/>
        <v/>
      </c>
      <c r="AC24" s="96" t="str">
        <f>IF(AB24="","",VLOOKUP(AB24,'11. Lists'!$F$36:$H$38,2,FALSE))</f>
        <v/>
      </c>
      <c r="AD24" s="95" t="str">
        <f>IF(AB24="","",VLOOKUP(AB24,'11. Lists'!$F$36:$H$38,3,FALSE))</f>
        <v/>
      </c>
      <c r="AE24" s="344" t="str">
        <f t="shared" si="2"/>
        <v/>
      </c>
      <c r="AF24" s="345" t="str">
        <f t="shared" si="3"/>
        <v/>
      </c>
      <c r="AG24" s="346" t="str">
        <f t="shared" si="4"/>
        <v/>
      </c>
      <c r="AH24" s="94" t="str">
        <f>IF(U24="","",VLOOKUP(U24,'11. Lists'!$B$47:$D$49,3,FALSE))</f>
        <v/>
      </c>
      <c r="AI24" s="95" t="str">
        <f>IF(D24="","",VLOOKUP(D24,'10. Condition and Temporal'!$B$6:$L$103,4,FALSE))</f>
        <v/>
      </c>
    </row>
    <row r="25" spans="2:35" s="26" customFormat="1" ht="15.75" x14ac:dyDescent="0.25">
      <c r="B25" s="298">
        <v>15</v>
      </c>
      <c r="C25" s="142" t="s">
        <v>199</v>
      </c>
      <c r="D25" s="632"/>
      <c r="E25" s="633"/>
      <c r="F25" s="833"/>
      <c r="G25" s="834"/>
      <c r="H25" s="835"/>
      <c r="I25" s="351"/>
      <c r="J25" s="352"/>
      <c r="K25" s="353"/>
      <c r="L25" s="340" t="str">
        <f t="shared" si="0"/>
        <v/>
      </c>
      <c r="M25" s="347" t="str">
        <f t="shared" si="5"/>
        <v/>
      </c>
      <c r="N25" s="336" t="str">
        <f t="shared" si="1"/>
        <v/>
      </c>
      <c r="O25" s="69"/>
      <c r="P25" s="8"/>
      <c r="R25" s="664"/>
      <c r="T25" s="593" t="str">
        <f>IF(D25="","",VLOOKUP(D25,'9. All Habitats + Multipliers'!$C$4:$K$102,5,FALSE))</f>
        <v/>
      </c>
      <c r="U25" s="594"/>
      <c r="V25" s="98" t="str">
        <f>IF(T25="","",VLOOKUP(T25,'11. Lists'!$B$47:$D$49,2,FALSE))</f>
        <v/>
      </c>
      <c r="W25" s="94" t="str">
        <f>IF(D25="","",VLOOKUP(D25,'10. Condition and Temporal'!$B$6:$C$103,2,FALSE))</f>
        <v/>
      </c>
      <c r="X25" s="98" t="str">
        <f>IF(W25="","",VLOOKUP(W25,'11. Lists'!$F$47:$G$51,2,FALSE))</f>
        <v/>
      </c>
      <c r="Y25" s="423"/>
      <c r="Z25" s="392"/>
      <c r="AA25" s="421"/>
      <c r="AB25" s="96" t="str">
        <f t="shared" si="6"/>
        <v/>
      </c>
      <c r="AC25" s="96" t="str">
        <f>IF(AB25="","",VLOOKUP(AB25,'11. Lists'!$F$36:$H$38,2,FALSE))</f>
        <v/>
      </c>
      <c r="AD25" s="95" t="str">
        <f>IF(AB25="","",VLOOKUP(AB25,'11. Lists'!$F$36:$H$38,3,FALSE))</f>
        <v/>
      </c>
      <c r="AE25" s="344" t="str">
        <f t="shared" si="2"/>
        <v/>
      </c>
      <c r="AF25" s="345" t="str">
        <f t="shared" si="3"/>
        <v/>
      </c>
      <c r="AG25" s="346" t="str">
        <f t="shared" si="4"/>
        <v/>
      </c>
      <c r="AH25" s="94" t="str">
        <f>IF(U25="","",VLOOKUP(U25,'11. Lists'!$B$47:$D$49,3,FALSE))</f>
        <v/>
      </c>
      <c r="AI25" s="95" t="str">
        <f>IF(D25="","",VLOOKUP(D25,'10. Condition and Temporal'!$B$6:$L$103,4,FALSE))</f>
        <v/>
      </c>
    </row>
    <row r="26" spans="2:35" s="26" customFormat="1" ht="15.75" x14ac:dyDescent="0.25">
      <c r="B26" s="298">
        <v>16</v>
      </c>
      <c r="C26" s="142" t="s">
        <v>199</v>
      </c>
      <c r="D26" s="632"/>
      <c r="E26" s="633"/>
      <c r="F26" s="833"/>
      <c r="G26" s="834"/>
      <c r="H26" s="835"/>
      <c r="I26" s="351"/>
      <c r="J26" s="352"/>
      <c r="K26" s="353"/>
      <c r="L26" s="340" t="str">
        <f t="shared" si="0"/>
        <v/>
      </c>
      <c r="M26" s="347" t="str">
        <f t="shared" si="5"/>
        <v/>
      </c>
      <c r="N26" s="336" t="str">
        <f t="shared" si="1"/>
        <v/>
      </c>
      <c r="O26" s="69"/>
      <c r="P26" s="8"/>
      <c r="R26" s="664"/>
      <c r="T26" s="593" t="str">
        <f>IF(D26="","",VLOOKUP(D26,'9. All Habitats + Multipliers'!$C$4:$K$102,5,FALSE))</f>
        <v/>
      </c>
      <c r="U26" s="594"/>
      <c r="V26" s="98" t="str">
        <f>IF(T26="","",VLOOKUP(T26,'11. Lists'!$B$47:$D$49,2,FALSE))</f>
        <v/>
      </c>
      <c r="W26" s="94" t="str">
        <f>IF(D26="","",VLOOKUP(D26,'10. Condition and Temporal'!$B$6:$C$103,2,FALSE))</f>
        <v/>
      </c>
      <c r="X26" s="98" t="str">
        <f>IF(W26="","",VLOOKUP(W26,'11. Lists'!$F$47:$G$51,2,FALSE))</f>
        <v/>
      </c>
      <c r="Y26" s="423"/>
      <c r="Z26" s="392"/>
      <c r="AA26" s="421"/>
      <c r="AB26" s="96" t="str">
        <f t="shared" si="6"/>
        <v/>
      </c>
      <c r="AC26" s="96" t="str">
        <f>IF(AB26="","",VLOOKUP(AB26,'11. Lists'!$F$36:$H$38,2,FALSE))</f>
        <v/>
      </c>
      <c r="AD26" s="95" t="str">
        <f>IF(AB26="","",VLOOKUP(AB26,'11. Lists'!$F$36:$H$38,3,FALSE))</f>
        <v/>
      </c>
      <c r="AE26" s="344" t="str">
        <f t="shared" si="2"/>
        <v/>
      </c>
      <c r="AF26" s="345" t="str">
        <f t="shared" si="3"/>
        <v/>
      </c>
      <c r="AG26" s="346" t="str">
        <f t="shared" si="4"/>
        <v/>
      </c>
      <c r="AH26" s="94" t="str">
        <f>IF(U26="","",VLOOKUP(U26,'11. Lists'!$B$47:$D$49,3,FALSE))</f>
        <v/>
      </c>
      <c r="AI26" s="95" t="str">
        <f>IF(D26="","",VLOOKUP(D26,'10. Condition and Temporal'!$B$6:$L$103,4,FALSE))</f>
        <v/>
      </c>
    </row>
    <row r="27" spans="2:35" s="26" customFormat="1" ht="15.75" x14ac:dyDescent="0.25">
      <c r="B27" s="298">
        <v>17</v>
      </c>
      <c r="C27" s="142" t="s">
        <v>199</v>
      </c>
      <c r="D27" s="632"/>
      <c r="E27" s="633"/>
      <c r="F27" s="833"/>
      <c r="G27" s="834"/>
      <c r="H27" s="835"/>
      <c r="I27" s="351"/>
      <c r="J27" s="352"/>
      <c r="K27" s="353"/>
      <c r="L27" s="340" t="str">
        <f t="shared" si="0"/>
        <v/>
      </c>
      <c r="M27" s="347" t="str">
        <f t="shared" si="5"/>
        <v/>
      </c>
      <c r="N27" s="336" t="str">
        <f t="shared" si="1"/>
        <v/>
      </c>
      <c r="O27" s="69"/>
      <c r="P27" s="8"/>
      <c r="R27" s="664"/>
      <c r="T27" s="593" t="str">
        <f>IF(D27="","",VLOOKUP(D27,'9. All Habitats + Multipliers'!$C$4:$K$102,5,FALSE))</f>
        <v/>
      </c>
      <c r="U27" s="594"/>
      <c r="V27" s="98" t="str">
        <f>IF(T27="","",VLOOKUP(T27,'11. Lists'!$B$47:$D$49,2,FALSE))</f>
        <v/>
      </c>
      <c r="W27" s="94" t="str">
        <f>IF(D27="","",VLOOKUP(D27,'10. Condition and Temporal'!$B$6:$C$103,2,FALSE))</f>
        <v/>
      </c>
      <c r="X27" s="98" t="str">
        <f>IF(W27="","",VLOOKUP(W27,'11. Lists'!$F$47:$G$51,2,FALSE))</f>
        <v/>
      </c>
      <c r="Y27" s="423"/>
      <c r="Z27" s="392"/>
      <c r="AA27" s="421"/>
      <c r="AB27" s="96" t="str">
        <f t="shared" si="6"/>
        <v/>
      </c>
      <c r="AC27" s="96" t="str">
        <f>IF(AB27="","",VLOOKUP(AB27,'11. Lists'!$F$36:$H$38,2,FALSE))</f>
        <v/>
      </c>
      <c r="AD27" s="95" t="str">
        <f>IF(AB27="","",VLOOKUP(AB27,'11. Lists'!$F$36:$H$38,3,FALSE))</f>
        <v/>
      </c>
      <c r="AE27" s="344" t="str">
        <f t="shared" si="2"/>
        <v/>
      </c>
      <c r="AF27" s="345" t="str">
        <f t="shared" si="3"/>
        <v/>
      </c>
      <c r="AG27" s="346" t="str">
        <f t="shared" si="4"/>
        <v/>
      </c>
      <c r="AH27" s="94" t="str">
        <f>IF(U27="","",VLOOKUP(U27,'11. Lists'!$B$47:$D$49,3,FALSE))</f>
        <v/>
      </c>
      <c r="AI27" s="95" t="str">
        <f>IF(D27="","",VLOOKUP(D27,'10. Condition and Temporal'!$B$6:$L$103,4,FALSE))</f>
        <v/>
      </c>
    </row>
    <row r="28" spans="2:35" s="26" customFormat="1" ht="15.75" x14ac:dyDescent="0.25">
      <c r="B28" s="298">
        <v>18</v>
      </c>
      <c r="C28" s="142" t="s">
        <v>199</v>
      </c>
      <c r="D28" s="632"/>
      <c r="E28" s="633"/>
      <c r="F28" s="833"/>
      <c r="G28" s="834"/>
      <c r="H28" s="835"/>
      <c r="I28" s="351"/>
      <c r="J28" s="352"/>
      <c r="K28" s="353"/>
      <c r="L28" s="340" t="str">
        <f t="shared" si="0"/>
        <v/>
      </c>
      <c r="M28" s="347" t="str">
        <f t="shared" si="5"/>
        <v/>
      </c>
      <c r="N28" s="336" t="str">
        <f t="shared" si="1"/>
        <v/>
      </c>
      <c r="O28" s="69"/>
      <c r="P28" s="8"/>
      <c r="R28" s="664"/>
      <c r="T28" s="593" t="str">
        <f>IF(D28="","",VLOOKUP(D28,'9. All Habitats + Multipliers'!$C$4:$K$102,5,FALSE))</f>
        <v/>
      </c>
      <c r="U28" s="594"/>
      <c r="V28" s="98" t="str">
        <f>IF(T28="","",VLOOKUP(T28,'11. Lists'!$B$47:$D$49,2,FALSE))</f>
        <v/>
      </c>
      <c r="W28" s="94" t="str">
        <f>IF(D28="","",VLOOKUP(D28,'10. Condition and Temporal'!$B$6:$C$103,2,FALSE))</f>
        <v/>
      </c>
      <c r="X28" s="98" t="str">
        <f>IF(W28="","",VLOOKUP(W28,'11. Lists'!$F$47:$G$51,2,FALSE))</f>
        <v/>
      </c>
      <c r="Y28" s="423"/>
      <c r="Z28" s="392"/>
      <c r="AA28" s="421"/>
      <c r="AB28" s="96" t="str">
        <f t="shared" si="6"/>
        <v/>
      </c>
      <c r="AC28" s="96" t="str">
        <f>IF(AB28="","",VLOOKUP(AB28,'11. Lists'!$F$36:$H$38,2,FALSE))</f>
        <v/>
      </c>
      <c r="AD28" s="95" t="str">
        <f>IF(AB28="","",VLOOKUP(AB28,'11. Lists'!$F$36:$H$38,3,FALSE))</f>
        <v/>
      </c>
      <c r="AE28" s="344" t="str">
        <f t="shared" si="2"/>
        <v/>
      </c>
      <c r="AF28" s="345" t="str">
        <f t="shared" si="3"/>
        <v/>
      </c>
      <c r="AG28" s="346" t="str">
        <f t="shared" si="4"/>
        <v/>
      </c>
      <c r="AH28" s="94" t="str">
        <f>IF(U28="","",VLOOKUP(U28,'11. Lists'!$B$47:$D$49,3,FALSE))</f>
        <v/>
      </c>
      <c r="AI28" s="95" t="str">
        <f>IF(D28="","",VLOOKUP(D28,'10. Condition and Temporal'!$B$6:$L$103,4,FALSE))</f>
        <v/>
      </c>
    </row>
    <row r="29" spans="2:35" s="26" customFormat="1" ht="15.75" x14ac:dyDescent="0.25">
      <c r="B29" s="298">
        <v>19</v>
      </c>
      <c r="C29" s="142" t="s">
        <v>199</v>
      </c>
      <c r="D29" s="632"/>
      <c r="E29" s="633"/>
      <c r="F29" s="833"/>
      <c r="G29" s="834"/>
      <c r="H29" s="835"/>
      <c r="I29" s="351"/>
      <c r="J29" s="352"/>
      <c r="K29" s="353"/>
      <c r="L29" s="340" t="str">
        <f t="shared" si="0"/>
        <v/>
      </c>
      <c r="M29" s="347" t="str">
        <f t="shared" si="5"/>
        <v/>
      </c>
      <c r="N29" s="336" t="str">
        <f t="shared" si="1"/>
        <v/>
      </c>
      <c r="O29" s="69"/>
      <c r="P29" s="8"/>
      <c r="R29" s="664"/>
      <c r="T29" s="593" t="str">
        <f>IF(D29="","",VLOOKUP(D29,'9. All Habitats + Multipliers'!$C$4:$K$102,5,FALSE))</f>
        <v/>
      </c>
      <c r="U29" s="594"/>
      <c r="V29" s="98" t="str">
        <f>IF(T29="","",VLOOKUP(T29,'11. Lists'!$B$47:$D$49,2,FALSE))</f>
        <v/>
      </c>
      <c r="W29" s="94" t="str">
        <f>IF(D29="","",VLOOKUP(D29,'10. Condition and Temporal'!$B$6:$C$103,2,FALSE))</f>
        <v/>
      </c>
      <c r="X29" s="98" t="str">
        <f>IF(W29="","",VLOOKUP(W29,'11. Lists'!$F$47:$G$51,2,FALSE))</f>
        <v/>
      </c>
      <c r="Y29" s="423"/>
      <c r="Z29" s="392"/>
      <c r="AA29" s="421"/>
      <c r="AB29" s="96" t="str">
        <f t="shared" si="6"/>
        <v/>
      </c>
      <c r="AC29" s="96" t="str">
        <f>IF(AB29="","",VLOOKUP(AB29,'11. Lists'!$F$36:$H$38,2,FALSE))</f>
        <v/>
      </c>
      <c r="AD29" s="95" t="str">
        <f>IF(AB29="","",VLOOKUP(AB29,'11. Lists'!$F$36:$H$38,3,FALSE))</f>
        <v/>
      </c>
      <c r="AE29" s="344" t="str">
        <f t="shared" si="2"/>
        <v/>
      </c>
      <c r="AF29" s="345" t="str">
        <f t="shared" si="3"/>
        <v/>
      </c>
      <c r="AG29" s="346" t="str">
        <f t="shared" si="4"/>
        <v/>
      </c>
      <c r="AH29" s="94" t="str">
        <f>IF(U29="","",VLOOKUP(U29,'11. Lists'!$B$47:$D$49,3,FALSE))</f>
        <v/>
      </c>
      <c r="AI29" s="95" t="str">
        <f>IF(D29="","",VLOOKUP(D29,'10. Condition and Temporal'!$B$6:$L$103,4,FALSE))</f>
        <v/>
      </c>
    </row>
    <row r="30" spans="2:35" s="26" customFormat="1" ht="16.5" thickBot="1" x14ac:dyDescent="0.3">
      <c r="B30" s="299">
        <v>20</v>
      </c>
      <c r="C30" s="148" t="s">
        <v>199</v>
      </c>
      <c r="D30" s="811"/>
      <c r="E30" s="812"/>
      <c r="F30" s="871"/>
      <c r="G30" s="872"/>
      <c r="H30" s="873"/>
      <c r="I30" s="354"/>
      <c r="J30" s="355"/>
      <c r="K30" s="356"/>
      <c r="L30" s="338" t="str">
        <f t="shared" si="0"/>
        <v/>
      </c>
      <c r="M30" s="361" t="str">
        <f>IF(I30="","",IF(J30+K30&gt;I30,"Length Error ▲",I30-J30-K30))</f>
        <v/>
      </c>
      <c r="N30" s="339" t="str">
        <f t="shared" si="1"/>
        <v/>
      </c>
      <c r="O30" s="71"/>
      <c r="P30" s="4"/>
      <c r="R30" s="664"/>
      <c r="T30" s="595" t="str">
        <f>IF(D30="","",VLOOKUP(D30,'9. All Habitats + Multipliers'!$C$4:$K$102,5,FALSE))</f>
        <v/>
      </c>
      <c r="U30" s="596"/>
      <c r="V30" s="98" t="str">
        <f>IF(T30="","",VLOOKUP(T30,'11. Lists'!$B$47:$D$49,2,FALSE))</f>
        <v/>
      </c>
      <c r="W30" s="100" t="str">
        <f>IF(D30="","",VLOOKUP(D30,'10. Condition and Temporal'!$B$6:$C$103,2,FALSE))</f>
        <v/>
      </c>
      <c r="X30" s="104" t="str">
        <f>IF(W30="","",VLOOKUP(W30,'11. Lists'!$F$47:$G$51,2,FALSE))</f>
        <v/>
      </c>
      <c r="Y30" s="423"/>
      <c r="Z30" s="392"/>
      <c r="AA30" s="421"/>
      <c r="AB30" s="96" t="str">
        <f t="shared" si="6"/>
        <v/>
      </c>
      <c r="AC30" s="96" t="str">
        <f>IF(AB30="","",VLOOKUP(AB30,'11. Lists'!$F$36:$H$38,2,FALSE))</f>
        <v/>
      </c>
      <c r="AD30" s="95" t="str">
        <f>IF(AB30="","",VLOOKUP(AB30,'11. Lists'!$F$36:$H$38,3,FALSE))</f>
        <v/>
      </c>
      <c r="AE30" s="344" t="str">
        <f t="shared" si="2"/>
        <v/>
      </c>
      <c r="AF30" s="345" t="str">
        <f t="shared" si="3"/>
        <v/>
      </c>
      <c r="AG30" s="346" t="str">
        <f t="shared" si="4"/>
        <v/>
      </c>
      <c r="AH30" s="94" t="str">
        <f>IF(U30="","",VLOOKUP(U30,'11. Lists'!$B$47:$D$49,3,FALSE))</f>
        <v/>
      </c>
      <c r="AI30" s="95" t="str">
        <f>IF(D30="","",VLOOKUP(D30,'10. Condition and Temporal'!$B$6:$L$103,4,FALSE))</f>
        <v/>
      </c>
    </row>
    <row r="31" spans="2:35" s="26" customFormat="1" x14ac:dyDescent="0.25">
      <c r="D31" s="90"/>
      <c r="E31" s="105"/>
      <c r="F31" s="105"/>
      <c r="G31" s="105"/>
      <c r="H31" s="305" t="s">
        <v>194</v>
      </c>
      <c r="I31" s="357">
        <f t="shared" ref="I31:N31" si="7">SUM(I11:I30)</f>
        <v>0</v>
      </c>
      <c r="J31" s="358">
        <f t="shared" si="7"/>
        <v>0</v>
      </c>
      <c r="K31" s="359">
        <f t="shared" si="7"/>
        <v>0</v>
      </c>
      <c r="L31" s="317">
        <f t="shared" si="7"/>
        <v>0</v>
      </c>
      <c r="M31" s="362">
        <f t="shared" si="7"/>
        <v>0</v>
      </c>
      <c r="N31" s="337">
        <f t="shared" si="7"/>
        <v>0</v>
      </c>
      <c r="R31" s="664"/>
    </row>
    <row r="32" spans="2:35" s="26" customFormat="1" x14ac:dyDescent="0.25">
      <c r="D32" s="90"/>
      <c r="E32" s="105"/>
      <c r="F32" s="105"/>
      <c r="G32" s="105"/>
      <c r="H32" s="335" t="s">
        <v>82</v>
      </c>
      <c r="I32" s="819" t="str">
        <f>IF(I31&lt;J31+K31,"Error - Lengths Retained and Enhanced Exceed Total Length ▲","Lengths Acceptable 🗸")</f>
        <v>Lengths Acceptable 🗸</v>
      </c>
      <c r="J32" s="819"/>
      <c r="K32" s="819"/>
      <c r="L32" s="819"/>
      <c r="M32" s="819"/>
      <c r="N32" s="820"/>
      <c r="O32" s="166">
        <f>IFERROR(FIND("Error",#REF!),0)</f>
        <v>0</v>
      </c>
      <c r="R32" s="106"/>
    </row>
    <row r="33" spans="2:34" s="26" customFormat="1" ht="15.75" thickBot="1" x14ac:dyDescent="0.3">
      <c r="D33" s="90"/>
      <c r="E33" s="105"/>
      <c r="F33" s="105"/>
      <c r="G33" s="105"/>
      <c r="H33" s="306" t="s">
        <v>82</v>
      </c>
      <c r="I33" s="844" t="str">
        <f>IF(I31&lt;5000,"Lengths Acceptable 🗸",IF(I31&gt;=5000,"Length Exceeds Length Appropriate for Small Sites Metric ▲"))</f>
        <v>Lengths Acceptable 🗸</v>
      </c>
      <c r="J33" s="783"/>
      <c r="K33" s="783"/>
      <c r="L33" s="783"/>
      <c r="M33" s="783"/>
      <c r="N33" s="784"/>
      <c r="O33" s="166">
        <f>COUNTIF(L11:N30,"*"&amp;"error"&amp;"*")</f>
        <v>0</v>
      </c>
      <c r="R33" s="106"/>
    </row>
    <row r="34" spans="2:34" s="26" customFormat="1" x14ac:dyDescent="0.25">
      <c r="D34" s="90"/>
      <c r="E34" s="105"/>
      <c r="F34" s="105"/>
      <c r="G34" s="105"/>
      <c r="H34" s="105"/>
      <c r="I34" s="105"/>
      <c r="J34" s="105"/>
      <c r="K34" s="105"/>
      <c r="L34" s="105"/>
      <c r="M34" s="105"/>
      <c r="N34" s="105"/>
      <c r="O34" s="27"/>
      <c r="R34" s="664" t="s">
        <v>45</v>
      </c>
    </row>
    <row r="35" spans="2:34" s="26" customFormat="1" ht="21" x14ac:dyDescent="0.35">
      <c r="B35" s="58" t="s">
        <v>85</v>
      </c>
      <c r="D35" s="89"/>
      <c r="E35" s="105"/>
      <c r="F35" s="105"/>
      <c r="G35" s="105"/>
      <c r="I35" s="27"/>
      <c r="R35" s="664"/>
    </row>
    <row r="36" spans="2:34" s="26" customFormat="1" ht="15.75" customHeight="1" thickBot="1" x14ac:dyDescent="0.3">
      <c r="R36" s="664"/>
    </row>
    <row r="37" spans="2:34" s="26" customFormat="1" ht="16.149999999999999" customHeight="1" thickBot="1" x14ac:dyDescent="0.3">
      <c r="B37" s="672" t="s">
        <v>39</v>
      </c>
      <c r="C37" s="679"/>
      <c r="D37" s="680"/>
      <c r="E37" s="674" t="s">
        <v>86</v>
      </c>
      <c r="F37" s="718"/>
      <c r="G37" s="687"/>
      <c r="H37" s="718" t="s">
        <v>87</v>
      </c>
      <c r="I37" s="692" t="s">
        <v>999</v>
      </c>
      <c r="J37" s="693"/>
      <c r="K37" s="694"/>
      <c r="L37" s="705" t="s">
        <v>195</v>
      </c>
      <c r="M37" s="679"/>
      <c r="N37" s="680"/>
      <c r="O37" s="674" t="s">
        <v>54</v>
      </c>
      <c r="P37" s="687"/>
      <c r="R37" s="664"/>
      <c r="T37" s="841" t="s">
        <v>55</v>
      </c>
      <c r="U37" s="842"/>
      <c r="V37" s="843"/>
      <c r="W37" s="865" t="s">
        <v>56</v>
      </c>
      <c r="X37" s="866"/>
      <c r="Y37" s="699"/>
      <c r="Z37" s="699"/>
      <c r="AA37" s="699"/>
      <c r="AB37" s="865" t="s">
        <v>57</v>
      </c>
      <c r="AC37" s="867"/>
      <c r="AD37" s="866"/>
      <c r="AE37" s="603" t="s">
        <v>89</v>
      </c>
      <c r="AF37" s="605"/>
      <c r="AG37" s="603" t="s">
        <v>90</v>
      </c>
      <c r="AH37" s="605"/>
    </row>
    <row r="38" spans="2:34" s="26" customFormat="1" ht="32.25" thickBot="1" x14ac:dyDescent="0.3">
      <c r="B38" s="673"/>
      <c r="C38" s="218" t="s">
        <v>61</v>
      </c>
      <c r="D38" s="219" t="s">
        <v>91</v>
      </c>
      <c r="E38" s="87" t="s">
        <v>92</v>
      </c>
      <c r="F38" s="619" t="s">
        <v>93</v>
      </c>
      <c r="G38" s="644"/>
      <c r="H38" s="620"/>
      <c r="I38" s="695"/>
      <c r="J38" s="696"/>
      <c r="K38" s="697"/>
      <c r="L38" s="868"/>
      <c r="M38" s="817"/>
      <c r="N38" s="846"/>
      <c r="O38" s="87" t="s">
        <v>69</v>
      </c>
      <c r="P38" s="91" t="s">
        <v>70</v>
      </c>
      <c r="R38" s="664"/>
      <c r="T38" s="603" t="s">
        <v>71</v>
      </c>
      <c r="U38" s="604"/>
      <c r="V38" s="408" t="s">
        <v>72</v>
      </c>
      <c r="W38" s="419" t="s">
        <v>73</v>
      </c>
      <c r="X38" s="404" t="s">
        <v>72</v>
      </c>
      <c r="Y38" s="415"/>
      <c r="Z38" s="415"/>
      <c r="AA38" s="415"/>
      <c r="AB38" s="404" t="s">
        <v>57</v>
      </c>
      <c r="AC38" s="404" t="s">
        <v>57</v>
      </c>
      <c r="AD38" s="420" t="s">
        <v>74</v>
      </c>
      <c r="AE38" s="92" t="s">
        <v>94</v>
      </c>
      <c r="AF38" s="93" t="s">
        <v>95</v>
      </c>
      <c r="AG38" s="92" t="s">
        <v>96</v>
      </c>
      <c r="AH38" s="93" t="s">
        <v>97</v>
      </c>
    </row>
    <row r="39" spans="2:34" s="26" customFormat="1" ht="15.75" x14ac:dyDescent="0.25">
      <c r="B39" s="304">
        <v>1</v>
      </c>
      <c r="C39" s="143" t="s">
        <v>199</v>
      </c>
      <c r="D39" s="144"/>
      <c r="E39" s="145" t="str">
        <f>IF(D39="","",VLOOKUP(D39,'10. Condition and Temporal'!$B$6:$D$103,3,FALSE))</f>
        <v/>
      </c>
      <c r="F39" s="762"/>
      <c r="G39" s="763"/>
      <c r="H39" s="146"/>
      <c r="I39" s="869"/>
      <c r="J39" s="870"/>
      <c r="K39" s="870"/>
      <c r="L39" s="823" t="str">
        <f>IF(D39="","",IFERROR(IF(I39="","",((I39/1000)*(V39*X39))*(AH39*AF39)*AD39),"This intervention is not permitted within the SSM ▲"))</f>
        <v/>
      </c>
      <c r="M39" s="824"/>
      <c r="N39" s="825"/>
      <c r="O39" s="246"/>
      <c r="P39" s="147"/>
      <c r="Q39" s="108"/>
      <c r="R39" s="664"/>
      <c r="T39" s="593" t="str">
        <f>IF(D39="","",VLOOKUP(D39,'9. All Habitats + Multipliers'!$C$4:$K$102,5,FALSE))</f>
        <v/>
      </c>
      <c r="U39" s="594"/>
      <c r="V39" s="95" t="str">
        <f>IF(T39="","",VLOOKUP(T39,'11. Lists'!$B$47:$D$49,2,FALSE))</f>
        <v/>
      </c>
      <c r="W39" s="205" t="str">
        <f>IF(F39="","",F39)</f>
        <v/>
      </c>
      <c r="X39" s="96" t="str">
        <f>IF(W39="","",VLOOKUP(W39,'11. Lists'!$F$47:$G$51,2,FALSE))</f>
        <v/>
      </c>
      <c r="Y39" s="392"/>
      <c r="Z39" s="392"/>
      <c r="AA39" s="392"/>
      <c r="AB39" s="96" t="str">
        <f>IF(H39="","",H39)</f>
        <v/>
      </c>
      <c r="AC39" s="96" t="str">
        <f>IF(AB39="","",VLOOKUP(AB39,'11. Lists'!$F$36:$H$38,2,FALSE))</f>
        <v/>
      </c>
      <c r="AD39" s="95" t="str">
        <f>IF(AB39="","",VLOOKUP(AB39,'11. Lists'!$F$36:$H$38,3,FALSE))</f>
        <v/>
      </c>
      <c r="AE39" s="94" t="str">
        <f>IF(F39="","",IF(F39="Moderate",VLOOKUP(D39,'10. Condition and Temporal'!$B$6:$L$103,6,FALSE),IF(F39="Good",VLOOKUP(D39,'10. Condition and Temporal'!$B$6:$L$103,7,FALSE),IF(F39="Poor",VLOOKUP(D39,'10. Condition and Temporal'!$B$6:$L$103,8,FALSE),IF(F39="Condition Assessment N/A",VLOOKUP(D39,'10. Condition and Temporal'!$B$6:$L$103,9,FALSE),IF(F39="N/A - Other",VLOOKUP(D39,'10. Condition and Temporal'!$B$6:$L$103,10,FALSE)))))))</f>
        <v/>
      </c>
      <c r="AF39" s="109" t="str">
        <f>IF(AE39="","",VLOOKUP(AE39,'11. Lists'!$I$47:$K$80,3,FALSE))</f>
        <v/>
      </c>
      <c r="AG39" s="94" t="str">
        <f>IF(D39="","",VLOOKUP(D39,'9. All Habitats + Multipliers'!$C$4:$K$102,7,FALSE))</f>
        <v/>
      </c>
      <c r="AH39" s="95" t="str">
        <f>IF(AG39="","",VLOOKUP(AG39,'11. Lists'!$J$35:$K$38,2,FALSE))</f>
        <v/>
      </c>
    </row>
    <row r="40" spans="2:34" s="26" customFormat="1" ht="15.75" x14ac:dyDescent="0.25">
      <c r="B40" s="298">
        <v>2</v>
      </c>
      <c r="C40" s="142" t="s">
        <v>199</v>
      </c>
      <c r="D40" s="74"/>
      <c r="E40" s="107" t="str">
        <f>IF(D40="","",VLOOKUP(D40,'10. Condition and Temporal'!$B$6:$D$103,3,FALSE))</f>
        <v/>
      </c>
      <c r="F40" s="640"/>
      <c r="G40" s="641"/>
      <c r="H40" s="72"/>
      <c r="I40" s="657"/>
      <c r="J40" s="658"/>
      <c r="K40" s="658"/>
      <c r="L40" s="796" t="str">
        <f t="shared" ref="L40:L58" si="8">IF(D40="","",IFERROR(IF(I40="","",((I40/1000)*(V40*X40))*(AH40*AF40)*AD40),"This intervention is not permitted within the SSM ▲"))</f>
        <v/>
      </c>
      <c r="M40" s="797"/>
      <c r="N40" s="798"/>
      <c r="O40" s="75"/>
      <c r="P40" s="12"/>
      <c r="Q40" s="108"/>
      <c r="R40" s="664"/>
      <c r="T40" s="593" t="str">
        <f>IF(D40="","",VLOOKUP(D40,'9. All Habitats + Multipliers'!$C$4:$K$102,5,FALSE))</f>
        <v/>
      </c>
      <c r="U40" s="594"/>
      <c r="V40" s="95" t="str">
        <f>IF(T40="","",VLOOKUP(T40,'11. Lists'!$B$47:$D$49,2,FALSE))</f>
        <v/>
      </c>
      <c r="W40" s="205" t="str">
        <f>IF(F40="","",F40)</f>
        <v/>
      </c>
      <c r="X40" s="96" t="str">
        <f>IF(W40="","",VLOOKUP(W40,'11. Lists'!$F$47:$G$51,2,FALSE))</f>
        <v/>
      </c>
      <c r="Y40" s="392"/>
      <c r="Z40" s="392"/>
      <c r="AA40" s="392"/>
      <c r="AB40" s="96" t="str">
        <f t="shared" ref="AB40:AB58" si="9">IF(H40="","",H40)</f>
        <v/>
      </c>
      <c r="AC40" s="96" t="str">
        <f>IF(AB40="","",VLOOKUP(AB40,'11. Lists'!$F$36:$H$38,2,FALSE))</f>
        <v/>
      </c>
      <c r="AD40" s="95" t="str">
        <f>IF(AB40="","",VLOOKUP(AB40,'11. Lists'!$F$36:$H$38,3,FALSE))</f>
        <v/>
      </c>
      <c r="AE40" s="94" t="str">
        <f>IF(F40="","",IF(F40="Moderate",VLOOKUP(D40,'10. Condition and Temporal'!$B$6:$L$103,6,FALSE),IF(F40="Good",VLOOKUP(D40,'10. Condition and Temporal'!$B$6:$L$103,7,FALSE),IF(F40="Poor",VLOOKUP(D40,'10. Condition and Temporal'!$B$6:$L$103,8,FALSE),IF(F40="Condition Assessment N/A",VLOOKUP(D40,'10. Condition and Temporal'!$B$6:$L$103,9,FALSE),IF(F40="N/A - Other",VLOOKUP(D40,'10. Condition and Temporal'!$B$6:$L$103,10,FALSE)))))))</f>
        <v/>
      </c>
      <c r="AF40" s="109" t="str">
        <f>IF(AE40="","",VLOOKUP(AE40,'11. Lists'!$I$47:$K$80,3,FALSE))</f>
        <v/>
      </c>
      <c r="AG40" s="94" t="str">
        <f>IF(D40="","",VLOOKUP(D40,'9. All Habitats + Multipliers'!$C$4:$K$102,7,FALSE))</f>
        <v/>
      </c>
      <c r="AH40" s="95" t="str">
        <f>IF(AG40="","",VLOOKUP(AG40,'11. Lists'!$J$35:$K$38,2,FALSE))</f>
        <v/>
      </c>
    </row>
    <row r="41" spans="2:34" s="26" customFormat="1" ht="15.75" x14ac:dyDescent="0.25">
      <c r="B41" s="298">
        <v>3</v>
      </c>
      <c r="C41" s="142" t="s">
        <v>199</v>
      </c>
      <c r="D41" s="74"/>
      <c r="E41" s="107" t="str">
        <f>IF(D41="","",VLOOKUP(D41,'10. Condition and Temporal'!$B$6:$D$103,3,FALSE))</f>
        <v/>
      </c>
      <c r="F41" s="640"/>
      <c r="G41" s="641"/>
      <c r="H41" s="72"/>
      <c r="I41" s="657"/>
      <c r="J41" s="658"/>
      <c r="K41" s="658"/>
      <c r="L41" s="796" t="str">
        <f t="shared" si="8"/>
        <v/>
      </c>
      <c r="M41" s="797"/>
      <c r="N41" s="798"/>
      <c r="O41" s="75"/>
      <c r="P41" s="12"/>
      <c r="Q41" s="108"/>
      <c r="R41" s="664"/>
      <c r="T41" s="593" t="str">
        <f>IF(D41="","",VLOOKUP(D41,'9. All Habitats + Multipliers'!$C$4:$K$102,5,FALSE))</f>
        <v/>
      </c>
      <c r="U41" s="594"/>
      <c r="V41" s="95" t="str">
        <f>IF(T41="","",VLOOKUP(T41,'11. Lists'!$B$47:$D$49,2,FALSE))</f>
        <v/>
      </c>
      <c r="W41" s="205" t="str">
        <f>IF(F41="","",F41)</f>
        <v/>
      </c>
      <c r="X41" s="96" t="str">
        <f>IF(W41="","",VLOOKUP(W41,'11. Lists'!$F$47:$G$51,2,FALSE))</f>
        <v/>
      </c>
      <c r="Y41" s="392"/>
      <c r="Z41" s="392"/>
      <c r="AA41" s="392"/>
      <c r="AB41" s="96" t="str">
        <f t="shared" si="9"/>
        <v/>
      </c>
      <c r="AC41" s="96" t="str">
        <f>IF(AB41="","",VLOOKUP(AB41,'11. Lists'!$F$36:$H$38,2,FALSE))</f>
        <v/>
      </c>
      <c r="AD41" s="95" t="str">
        <f>IF(AB41="","",VLOOKUP(AB41,'11. Lists'!$F$36:$H$38,3,FALSE))</f>
        <v/>
      </c>
      <c r="AE41" s="94" t="str">
        <f>IF(F41="","",IF(F41="Moderate",VLOOKUP(D41,'10. Condition and Temporal'!$B$6:$L$103,6,FALSE),IF(F41="Good",VLOOKUP(D41,'10. Condition and Temporal'!$B$6:$L$103,7,FALSE),IF(F41="Poor",VLOOKUP(D41,'10. Condition and Temporal'!$B$6:$L$103,8,FALSE),IF(F41="Condition Assessment N/A",VLOOKUP(D41,'10. Condition and Temporal'!$B$6:$L$103,9,FALSE),IF(F41="N/A - Other",VLOOKUP(D41,'10. Condition and Temporal'!$B$6:$L$103,10,FALSE)))))))</f>
        <v/>
      </c>
      <c r="AF41" s="109" t="str">
        <f>IF(AE41="","",VLOOKUP(AE41,'11. Lists'!$I$47:$K$80,3,FALSE))</f>
        <v/>
      </c>
      <c r="AG41" s="94" t="str">
        <f>IF(D41="","",VLOOKUP(D41,'9. All Habitats + Multipliers'!$C$4:$K$102,7,FALSE))</f>
        <v/>
      </c>
      <c r="AH41" s="95" t="str">
        <f>IF(AG41="","",VLOOKUP(AG41,'11. Lists'!$J$35:$K$38,2,FALSE))</f>
        <v/>
      </c>
    </row>
    <row r="42" spans="2:34" s="26" customFormat="1" ht="15.75" x14ac:dyDescent="0.25">
      <c r="B42" s="298">
        <v>4</v>
      </c>
      <c r="C42" s="142" t="s">
        <v>199</v>
      </c>
      <c r="D42" s="74"/>
      <c r="E42" s="107" t="str">
        <f>IF(D42="","",VLOOKUP(D42,'10. Condition and Temporal'!$B$6:$D$103,3,FALSE))</f>
        <v/>
      </c>
      <c r="F42" s="640"/>
      <c r="G42" s="641"/>
      <c r="H42" s="72"/>
      <c r="I42" s="657"/>
      <c r="J42" s="658"/>
      <c r="K42" s="658"/>
      <c r="L42" s="796" t="str">
        <f t="shared" si="8"/>
        <v/>
      </c>
      <c r="M42" s="797"/>
      <c r="N42" s="798"/>
      <c r="O42" s="75"/>
      <c r="P42" s="12"/>
      <c r="Q42" s="108"/>
      <c r="R42" s="664"/>
      <c r="T42" s="593" t="str">
        <f>IF(D42="","",VLOOKUP(D42,'9. All Habitats + Multipliers'!$C$4:$K$102,5,FALSE))</f>
        <v/>
      </c>
      <c r="U42" s="594"/>
      <c r="V42" s="95" t="str">
        <f>IF(T42="","",VLOOKUP(T42,'11. Lists'!$B$47:$D$49,2,FALSE))</f>
        <v/>
      </c>
      <c r="W42" s="205" t="str">
        <f>IF(F42="","",F42)</f>
        <v/>
      </c>
      <c r="X42" s="96" t="str">
        <f>IF(W42="","",VLOOKUP(W42,'11. Lists'!$F$47:$G$51,2,FALSE))</f>
        <v/>
      </c>
      <c r="Y42" s="392"/>
      <c r="Z42" s="392"/>
      <c r="AA42" s="392"/>
      <c r="AB42" s="96" t="str">
        <f t="shared" si="9"/>
        <v/>
      </c>
      <c r="AC42" s="96" t="str">
        <f>IF(AB42="","",VLOOKUP(AB42,'11. Lists'!$F$36:$H$38,2,FALSE))</f>
        <v/>
      </c>
      <c r="AD42" s="95" t="str">
        <f>IF(AB42="","",VLOOKUP(AB42,'11. Lists'!$F$36:$H$38,3,FALSE))</f>
        <v/>
      </c>
      <c r="AE42" s="94" t="str">
        <f>IF(F42="","",IF(F42="Moderate",VLOOKUP(D42,'10. Condition and Temporal'!$B$6:$L$103,6,FALSE),IF(F42="Good",VLOOKUP(D42,'10. Condition and Temporal'!$B$6:$L$103,7,FALSE),IF(F42="Poor",VLOOKUP(D42,'10. Condition and Temporal'!$B$6:$L$103,8,FALSE),IF(F42="Condition Assessment N/A",VLOOKUP(D42,'10. Condition and Temporal'!$B$6:$L$103,9,FALSE),IF(F42="N/A - Other",VLOOKUP(D42,'10. Condition and Temporal'!$B$6:$L$103,10,FALSE)))))))</f>
        <v/>
      </c>
      <c r="AF42" s="109" t="str">
        <f>IF(AE42="","",VLOOKUP(AE42,'11. Lists'!$I$47:$K$80,3,FALSE))</f>
        <v/>
      </c>
      <c r="AG42" s="94" t="str">
        <f>IF(D42="","",VLOOKUP(D42,'9. All Habitats + Multipliers'!$C$4:$K$102,7,FALSE))</f>
        <v/>
      </c>
      <c r="AH42" s="95" t="str">
        <f>IF(AG42="","",VLOOKUP(AG42,'11. Lists'!$J$35:$K$38,2,FALSE))</f>
        <v/>
      </c>
    </row>
    <row r="43" spans="2:34" s="26" customFormat="1" ht="15.75" x14ac:dyDescent="0.25">
      <c r="B43" s="298">
        <v>5</v>
      </c>
      <c r="C43" s="142" t="s">
        <v>199</v>
      </c>
      <c r="D43" s="74"/>
      <c r="E43" s="107" t="str">
        <f>IF(D43="","",VLOOKUP(D43,'10. Condition and Temporal'!$B$6:$D$103,3,FALSE))</f>
        <v/>
      </c>
      <c r="F43" s="640"/>
      <c r="G43" s="641"/>
      <c r="H43" s="72"/>
      <c r="I43" s="657"/>
      <c r="J43" s="658"/>
      <c r="K43" s="658"/>
      <c r="L43" s="796" t="str">
        <f t="shared" si="8"/>
        <v/>
      </c>
      <c r="M43" s="797"/>
      <c r="N43" s="798"/>
      <c r="O43" s="75"/>
      <c r="P43" s="12"/>
      <c r="R43" s="664"/>
      <c r="T43" s="593" t="str">
        <f>IF(D43="","",VLOOKUP(D43,'9. All Habitats + Multipliers'!$C$4:$K$102,5,FALSE))</f>
        <v/>
      </c>
      <c r="U43" s="594"/>
      <c r="V43" s="95" t="str">
        <f>IF(T43="","",VLOOKUP(T43,'11. Lists'!$B$47:$D$49,2,FALSE))</f>
        <v/>
      </c>
      <c r="W43" s="205" t="str">
        <f t="shared" ref="W43:W58" si="10">IF(F43="","",F43)</f>
        <v/>
      </c>
      <c r="X43" s="96" t="str">
        <f>IF(W43="","",VLOOKUP(W43,'11. Lists'!$F$47:$G$51,2,FALSE))</f>
        <v/>
      </c>
      <c r="Y43" s="392"/>
      <c r="Z43" s="392"/>
      <c r="AA43" s="392"/>
      <c r="AB43" s="96" t="str">
        <f t="shared" si="9"/>
        <v/>
      </c>
      <c r="AC43" s="96" t="str">
        <f>IF(AB43="","",VLOOKUP(AB43,'11. Lists'!$F$36:$H$38,2,FALSE))</f>
        <v/>
      </c>
      <c r="AD43" s="95" t="str">
        <f>IF(AB43="","",VLOOKUP(AB43,'11. Lists'!$F$36:$H$38,3,FALSE))</f>
        <v/>
      </c>
      <c r="AE43" s="94" t="str">
        <f>IF(F43="","",IF(F43="Moderate",VLOOKUP(D43,'10. Condition and Temporal'!$B$6:$L$103,6,FALSE),IF(F43="Good",VLOOKUP(D43,'10. Condition and Temporal'!$B$6:$L$103,7,FALSE),IF(F43="Poor",VLOOKUP(D43,'10. Condition and Temporal'!$B$6:$L$103,8,FALSE),IF(F43="Condition Assessment N/A",VLOOKUP(D43,'10. Condition and Temporal'!$B$6:$L$103,9,FALSE),IF(F43="N/A - Other",VLOOKUP(D43,'10. Condition and Temporal'!$B$6:$L$103,10,FALSE)))))))</f>
        <v/>
      </c>
      <c r="AF43" s="109" t="str">
        <f>IF(AE43="","",VLOOKUP(AE43,'11. Lists'!$I$47:$K$80,3,FALSE))</f>
        <v/>
      </c>
      <c r="AG43" s="94" t="str">
        <f>IF(D43="","",VLOOKUP(D43,'9. All Habitats + Multipliers'!$C$4:$K$102,7,FALSE))</f>
        <v/>
      </c>
      <c r="AH43" s="95" t="str">
        <f>IF(AG43="","",VLOOKUP(AG43,'11. Lists'!$J$35:$K$38,2,FALSE))</f>
        <v/>
      </c>
    </row>
    <row r="44" spans="2:34" s="26" customFormat="1" ht="15.75" x14ac:dyDescent="0.25">
      <c r="B44" s="298">
        <v>6</v>
      </c>
      <c r="C44" s="142" t="s">
        <v>199</v>
      </c>
      <c r="D44" s="74"/>
      <c r="E44" s="107" t="str">
        <f>IF(D44="","",VLOOKUP(D44,'10. Condition and Temporal'!$B$6:$D$103,3,FALSE))</f>
        <v/>
      </c>
      <c r="F44" s="640"/>
      <c r="G44" s="641"/>
      <c r="H44" s="72"/>
      <c r="I44" s="657"/>
      <c r="J44" s="658"/>
      <c r="K44" s="658"/>
      <c r="L44" s="796" t="str">
        <f t="shared" si="8"/>
        <v/>
      </c>
      <c r="M44" s="797"/>
      <c r="N44" s="798"/>
      <c r="O44" s="75"/>
      <c r="P44" s="12"/>
      <c r="R44" s="664"/>
      <c r="T44" s="593" t="str">
        <f>IF(D44="","",VLOOKUP(D44,'9. All Habitats + Multipliers'!$C$4:$K$102,5,FALSE))</f>
        <v/>
      </c>
      <c r="U44" s="594"/>
      <c r="V44" s="95" t="str">
        <f>IF(T44="","",VLOOKUP(T44,'11. Lists'!$B$47:$D$49,2,FALSE))</f>
        <v/>
      </c>
      <c r="W44" s="205" t="str">
        <f t="shared" si="10"/>
        <v/>
      </c>
      <c r="X44" s="96" t="str">
        <f>IF(W44="","",VLOOKUP(W44,'11. Lists'!$F$47:$G$51,2,FALSE))</f>
        <v/>
      </c>
      <c r="Y44" s="392"/>
      <c r="Z44" s="392"/>
      <c r="AA44" s="392"/>
      <c r="AB44" s="96" t="str">
        <f t="shared" si="9"/>
        <v/>
      </c>
      <c r="AC44" s="96" t="str">
        <f>IF(AB44="","",VLOOKUP(AB44,'11. Lists'!$F$36:$H$38,2,FALSE))</f>
        <v/>
      </c>
      <c r="AD44" s="95" t="str">
        <f>IF(AB44="","",VLOOKUP(AB44,'11. Lists'!$F$36:$H$38,3,FALSE))</f>
        <v/>
      </c>
      <c r="AE44" s="94" t="str">
        <f>IF(F44="","",IF(F44="Moderate",VLOOKUP(D44,'10. Condition and Temporal'!$B$6:$L$103,6,FALSE),IF(F44="Good",VLOOKUP(D44,'10. Condition and Temporal'!$B$6:$L$103,7,FALSE),IF(F44="Poor",VLOOKUP(D44,'10. Condition and Temporal'!$B$6:$L$103,8,FALSE),IF(F44="Condition Assessment N/A",VLOOKUP(D44,'10. Condition and Temporal'!$B$6:$L$103,9,FALSE),IF(F44="N/A - Other",VLOOKUP(D44,'10. Condition and Temporal'!$B$6:$L$103,10,FALSE)))))))</f>
        <v/>
      </c>
      <c r="AF44" s="109" t="str">
        <f>IF(AE44="","",VLOOKUP(AE44,'11. Lists'!$I$47:$K$80,3,FALSE))</f>
        <v/>
      </c>
      <c r="AG44" s="94" t="str">
        <f>IF(D44="","",VLOOKUP(D44,'9. All Habitats + Multipliers'!$C$4:$K$102,7,FALSE))</f>
        <v/>
      </c>
      <c r="AH44" s="95" t="str">
        <f>IF(AG44="","",VLOOKUP(AG44,'11. Lists'!$J$35:$K$38,2,FALSE))</f>
        <v/>
      </c>
    </row>
    <row r="45" spans="2:34" s="26" customFormat="1" ht="15.75" x14ac:dyDescent="0.25">
      <c r="B45" s="298">
        <v>7</v>
      </c>
      <c r="C45" s="142" t="s">
        <v>199</v>
      </c>
      <c r="D45" s="74"/>
      <c r="E45" s="107" t="str">
        <f>IF(D45="","",VLOOKUP(D45,'10. Condition and Temporal'!$B$6:$D$103,3,FALSE))</f>
        <v/>
      </c>
      <c r="F45" s="640"/>
      <c r="G45" s="641"/>
      <c r="H45" s="72"/>
      <c r="I45" s="657"/>
      <c r="J45" s="658"/>
      <c r="K45" s="658"/>
      <c r="L45" s="796" t="str">
        <f t="shared" si="8"/>
        <v/>
      </c>
      <c r="M45" s="797"/>
      <c r="N45" s="798"/>
      <c r="O45" s="75"/>
      <c r="P45" s="12"/>
      <c r="R45" s="664"/>
      <c r="T45" s="593" t="str">
        <f>IF(D45="","",VLOOKUP(D45,'9. All Habitats + Multipliers'!$C$4:$K$102,5,FALSE))</f>
        <v/>
      </c>
      <c r="U45" s="594"/>
      <c r="V45" s="95" t="str">
        <f>IF(T45="","",VLOOKUP(T45,'11. Lists'!$B$47:$D$49,2,FALSE))</f>
        <v/>
      </c>
      <c r="W45" s="205" t="str">
        <f t="shared" si="10"/>
        <v/>
      </c>
      <c r="X45" s="96" t="str">
        <f>IF(W45="","",VLOOKUP(W45,'11. Lists'!$F$47:$G$51,2,FALSE))</f>
        <v/>
      </c>
      <c r="Y45" s="392"/>
      <c r="Z45" s="392"/>
      <c r="AA45" s="392"/>
      <c r="AB45" s="96" t="str">
        <f t="shared" si="9"/>
        <v/>
      </c>
      <c r="AC45" s="96" t="str">
        <f>IF(AB45="","",VLOOKUP(AB45,'11. Lists'!$F$36:$H$38,2,FALSE))</f>
        <v/>
      </c>
      <c r="AD45" s="95" t="str">
        <f>IF(AB45="","",VLOOKUP(AB45,'11. Lists'!$F$36:$H$38,3,FALSE))</f>
        <v/>
      </c>
      <c r="AE45" s="94" t="str">
        <f>IF(F45="","",IF(F45="Moderate",VLOOKUP(D45,'10. Condition and Temporal'!$B$6:$L$103,6,FALSE),IF(F45="Good",VLOOKUP(D45,'10. Condition and Temporal'!$B$6:$L$103,7,FALSE),IF(F45="Poor",VLOOKUP(D45,'10. Condition and Temporal'!$B$6:$L$103,8,FALSE),IF(F45="Condition Assessment N/A",VLOOKUP(D45,'10. Condition and Temporal'!$B$6:$L$103,9,FALSE),IF(F45="N/A - Other",VLOOKUP(D45,'10. Condition and Temporal'!$B$6:$L$103,10,FALSE)))))))</f>
        <v/>
      </c>
      <c r="AF45" s="109" t="str">
        <f>IF(AE45="","",VLOOKUP(AE45,'11. Lists'!$I$47:$K$80,3,FALSE))</f>
        <v/>
      </c>
      <c r="AG45" s="94" t="str">
        <f>IF(D45="","",VLOOKUP(D45,'9. All Habitats + Multipliers'!$C$4:$K$102,7,FALSE))</f>
        <v/>
      </c>
      <c r="AH45" s="95" t="str">
        <f>IF(AG45="","",VLOOKUP(AG45,'11. Lists'!$J$35:$K$38,2,FALSE))</f>
        <v/>
      </c>
    </row>
    <row r="46" spans="2:34" s="26" customFormat="1" ht="15.75" x14ac:dyDescent="0.25">
      <c r="B46" s="298">
        <v>8</v>
      </c>
      <c r="C46" s="142" t="s">
        <v>199</v>
      </c>
      <c r="D46" s="74"/>
      <c r="E46" s="107" t="str">
        <f>IF(D46="","",VLOOKUP(D46,'10. Condition and Temporal'!$B$6:$D$103,3,FALSE))</f>
        <v/>
      </c>
      <c r="F46" s="640"/>
      <c r="G46" s="641"/>
      <c r="H46" s="72"/>
      <c r="I46" s="657"/>
      <c r="J46" s="658"/>
      <c r="K46" s="658"/>
      <c r="L46" s="796" t="str">
        <f t="shared" si="8"/>
        <v/>
      </c>
      <c r="M46" s="797"/>
      <c r="N46" s="798"/>
      <c r="O46" s="75"/>
      <c r="P46" s="12"/>
      <c r="R46" s="664"/>
      <c r="T46" s="593" t="str">
        <f>IF(D46="","",VLOOKUP(D46,'9. All Habitats + Multipliers'!$C$4:$K$102,5,FALSE))</f>
        <v/>
      </c>
      <c r="U46" s="594"/>
      <c r="V46" s="95" t="str">
        <f>IF(T46="","",VLOOKUP(T46,'11. Lists'!$B$47:$D$49,2,FALSE))</f>
        <v/>
      </c>
      <c r="W46" s="205" t="str">
        <f t="shared" si="10"/>
        <v/>
      </c>
      <c r="X46" s="96" t="str">
        <f>IF(W46="","",VLOOKUP(W46,'11. Lists'!$F$47:$G$51,2,FALSE))</f>
        <v/>
      </c>
      <c r="Y46" s="392"/>
      <c r="Z46" s="392"/>
      <c r="AA46" s="392"/>
      <c r="AB46" s="96" t="str">
        <f t="shared" si="9"/>
        <v/>
      </c>
      <c r="AC46" s="96" t="str">
        <f>IF(AB46="","",VLOOKUP(AB46,'11. Lists'!$F$36:$H$38,2,FALSE))</f>
        <v/>
      </c>
      <c r="AD46" s="95" t="str">
        <f>IF(AB46="","",VLOOKUP(AB46,'11. Lists'!$F$36:$H$38,3,FALSE))</f>
        <v/>
      </c>
      <c r="AE46" s="94" t="str">
        <f>IF(F46="","",IF(F46="Moderate",VLOOKUP(D46,'10. Condition and Temporal'!$B$6:$L$103,6,FALSE),IF(F46="Good",VLOOKUP(D46,'10. Condition and Temporal'!$B$6:$L$103,7,FALSE),IF(F46="Poor",VLOOKUP(D46,'10. Condition and Temporal'!$B$6:$L$103,8,FALSE),IF(F46="Condition Assessment N/A",VLOOKUP(D46,'10. Condition and Temporal'!$B$6:$L$103,9,FALSE),IF(F46="N/A - Other",VLOOKUP(D46,'10. Condition and Temporal'!$B$6:$L$103,10,FALSE)))))))</f>
        <v/>
      </c>
      <c r="AF46" s="109" t="str">
        <f>IF(AE46="","",VLOOKUP(AE46,'11. Lists'!$I$47:$K$80,3,FALSE))</f>
        <v/>
      </c>
      <c r="AG46" s="94" t="str">
        <f>IF(D46="","",VLOOKUP(D46,'9. All Habitats + Multipliers'!$C$4:$K$102,7,FALSE))</f>
        <v/>
      </c>
      <c r="AH46" s="95" t="str">
        <f>IF(AG46="","",VLOOKUP(AG46,'11. Lists'!$J$35:$K$38,2,FALSE))</f>
        <v/>
      </c>
    </row>
    <row r="47" spans="2:34" s="26" customFormat="1" ht="15.75" x14ac:dyDescent="0.25">
      <c r="B47" s="298">
        <v>9</v>
      </c>
      <c r="C47" s="142" t="s">
        <v>199</v>
      </c>
      <c r="D47" s="74"/>
      <c r="E47" s="107" t="str">
        <f>IF(D47="","",VLOOKUP(D47,'10. Condition and Temporal'!$B$6:$D$103,3,FALSE))</f>
        <v/>
      </c>
      <c r="F47" s="640"/>
      <c r="G47" s="641"/>
      <c r="H47" s="72"/>
      <c r="I47" s="657"/>
      <c r="J47" s="658"/>
      <c r="K47" s="658"/>
      <c r="L47" s="796" t="str">
        <f t="shared" si="8"/>
        <v/>
      </c>
      <c r="M47" s="797"/>
      <c r="N47" s="798"/>
      <c r="O47" s="75"/>
      <c r="P47" s="12"/>
      <c r="R47" s="664"/>
      <c r="T47" s="593" t="str">
        <f>IF(D47="","",VLOOKUP(D47,'9. All Habitats + Multipliers'!$C$4:$K$102,5,FALSE))</f>
        <v/>
      </c>
      <c r="U47" s="594"/>
      <c r="V47" s="95" t="str">
        <f>IF(T47="","",VLOOKUP(T47,'11. Lists'!$B$47:$D$49,2,FALSE))</f>
        <v/>
      </c>
      <c r="W47" s="205" t="str">
        <f t="shared" si="10"/>
        <v/>
      </c>
      <c r="X47" s="96" t="str">
        <f>IF(W47="","",VLOOKUP(W47,'11. Lists'!$F$47:$G$51,2,FALSE))</f>
        <v/>
      </c>
      <c r="Y47" s="392"/>
      <c r="Z47" s="392"/>
      <c r="AA47" s="392"/>
      <c r="AB47" s="96" t="str">
        <f t="shared" si="9"/>
        <v/>
      </c>
      <c r="AC47" s="96" t="str">
        <f>IF(AB47="","",VLOOKUP(AB47,'11. Lists'!$F$36:$H$38,2,FALSE))</f>
        <v/>
      </c>
      <c r="AD47" s="95" t="str">
        <f>IF(AB47="","",VLOOKUP(AB47,'11. Lists'!$F$36:$H$38,3,FALSE))</f>
        <v/>
      </c>
      <c r="AE47" s="94" t="str">
        <f>IF(F47="","",IF(F47="Moderate",VLOOKUP(D47,'10. Condition and Temporal'!$B$6:$L$103,6,FALSE),IF(F47="Good",VLOOKUP(D47,'10. Condition and Temporal'!$B$6:$L$103,7,FALSE),IF(F47="Poor",VLOOKUP(D47,'10. Condition and Temporal'!$B$6:$L$103,8,FALSE),IF(F47="Condition Assessment N/A",VLOOKUP(D47,'10. Condition and Temporal'!$B$6:$L$103,9,FALSE),IF(F47="N/A - Other",VLOOKUP(D47,'10. Condition and Temporal'!$B$6:$L$103,10,FALSE)))))))</f>
        <v/>
      </c>
      <c r="AF47" s="109" t="str">
        <f>IF(AE47="","",VLOOKUP(AE47,'11. Lists'!$I$47:$K$80,3,FALSE))</f>
        <v/>
      </c>
      <c r="AG47" s="94" t="str">
        <f>IF(D47="","",VLOOKUP(D47,'9. All Habitats + Multipliers'!$C$4:$K$102,7,FALSE))</f>
        <v/>
      </c>
      <c r="AH47" s="95" t="str">
        <f>IF(AG47="","",VLOOKUP(AG47,'11. Lists'!$J$35:$K$38,2,FALSE))</f>
        <v/>
      </c>
    </row>
    <row r="48" spans="2:34" s="26" customFormat="1" ht="15.75" x14ac:dyDescent="0.25">
      <c r="B48" s="298">
        <v>10</v>
      </c>
      <c r="C48" s="142" t="s">
        <v>199</v>
      </c>
      <c r="D48" s="74"/>
      <c r="E48" s="107" t="str">
        <f>IF(D48="","",VLOOKUP(D48,'10. Condition and Temporal'!$B$6:$D$103,3,FALSE))</f>
        <v/>
      </c>
      <c r="F48" s="640"/>
      <c r="G48" s="641"/>
      <c r="H48" s="72"/>
      <c r="I48" s="657"/>
      <c r="J48" s="658"/>
      <c r="K48" s="658"/>
      <c r="L48" s="796" t="str">
        <f t="shared" si="8"/>
        <v/>
      </c>
      <c r="M48" s="797"/>
      <c r="N48" s="798"/>
      <c r="O48" s="75"/>
      <c r="P48" s="12"/>
      <c r="R48" s="664"/>
      <c r="T48" s="593" t="str">
        <f>IF(D48="","",VLOOKUP(D48,'9. All Habitats + Multipliers'!$C$4:$K$102,5,FALSE))</f>
        <v/>
      </c>
      <c r="U48" s="594"/>
      <c r="V48" s="95" t="str">
        <f>IF(T48="","",VLOOKUP(T48,'11. Lists'!$B$47:$D$49,2,FALSE))</f>
        <v/>
      </c>
      <c r="W48" s="205" t="str">
        <f t="shared" si="10"/>
        <v/>
      </c>
      <c r="X48" s="96" t="str">
        <f>IF(W48="","",VLOOKUP(W48,'11. Lists'!$F$47:$G$51,2,FALSE))</f>
        <v/>
      </c>
      <c r="Y48" s="392"/>
      <c r="Z48" s="392"/>
      <c r="AA48" s="392"/>
      <c r="AB48" s="96" t="str">
        <f t="shared" si="9"/>
        <v/>
      </c>
      <c r="AC48" s="96" t="str">
        <f>IF(AB48="","",VLOOKUP(AB48,'11. Lists'!$F$36:$H$38,2,FALSE))</f>
        <v/>
      </c>
      <c r="AD48" s="95" t="str">
        <f>IF(AB48="","",VLOOKUP(AB48,'11. Lists'!$F$36:$H$38,3,FALSE))</f>
        <v/>
      </c>
      <c r="AE48" s="94" t="str">
        <f>IF(F48="","",IF(F48="Moderate",VLOOKUP(D48,'10. Condition and Temporal'!$B$6:$L$103,6,FALSE),IF(F48="Good",VLOOKUP(D48,'10. Condition and Temporal'!$B$6:$L$103,7,FALSE),IF(F48="Poor",VLOOKUP(D48,'10. Condition and Temporal'!$B$6:$L$103,8,FALSE),IF(F48="Condition Assessment N/A",VLOOKUP(D48,'10. Condition and Temporal'!$B$6:$L$103,9,FALSE),IF(F48="N/A - Other",VLOOKUP(D48,'10. Condition and Temporal'!$B$6:$L$103,10,FALSE)))))))</f>
        <v/>
      </c>
      <c r="AF48" s="109" t="str">
        <f>IF(AE48="","",VLOOKUP(AE48,'11. Lists'!$I$47:$K$80,3,FALSE))</f>
        <v/>
      </c>
      <c r="AG48" s="94" t="str">
        <f>IF(D48="","",VLOOKUP(D48,'9. All Habitats + Multipliers'!$C$4:$K$102,7,FALSE))</f>
        <v/>
      </c>
      <c r="AH48" s="95" t="str">
        <f>IF(AG48="","",VLOOKUP(AG48,'11. Lists'!$J$35:$K$38,2,FALSE))</f>
        <v/>
      </c>
    </row>
    <row r="49" spans="1:73" s="26" customFormat="1" ht="15.75" x14ac:dyDescent="0.25">
      <c r="B49" s="298">
        <v>11</v>
      </c>
      <c r="C49" s="142" t="s">
        <v>199</v>
      </c>
      <c r="D49" s="74"/>
      <c r="E49" s="107" t="str">
        <f>IF(D49="","",VLOOKUP(D49,'10. Condition and Temporal'!$B$6:$D$103,3,FALSE))</f>
        <v/>
      </c>
      <c r="F49" s="640"/>
      <c r="G49" s="641"/>
      <c r="H49" s="72"/>
      <c r="I49" s="657"/>
      <c r="J49" s="658"/>
      <c r="K49" s="658"/>
      <c r="L49" s="796" t="str">
        <f t="shared" si="8"/>
        <v/>
      </c>
      <c r="M49" s="797"/>
      <c r="N49" s="798"/>
      <c r="O49" s="75"/>
      <c r="P49" s="12"/>
      <c r="R49" s="664"/>
      <c r="T49" s="593" t="str">
        <f>IF(D49="","",VLOOKUP(D49,'9. All Habitats + Multipliers'!$C$4:$K$102,5,FALSE))</f>
        <v/>
      </c>
      <c r="U49" s="594"/>
      <c r="V49" s="95" t="str">
        <f>IF(T49="","",VLOOKUP(T49,'11. Lists'!$B$47:$D$49,2,FALSE))</f>
        <v/>
      </c>
      <c r="W49" s="205" t="str">
        <f t="shared" si="10"/>
        <v/>
      </c>
      <c r="X49" s="96" t="str">
        <f>IF(W49="","",VLOOKUP(W49,'11. Lists'!$F$47:$G$51,2,FALSE))</f>
        <v/>
      </c>
      <c r="Y49" s="392"/>
      <c r="Z49" s="392"/>
      <c r="AA49" s="392"/>
      <c r="AB49" s="96" t="str">
        <f t="shared" si="9"/>
        <v/>
      </c>
      <c r="AC49" s="96" t="str">
        <f>IF(AB49="","",VLOOKUP(AB49,'11. Lists'!$F$36:$H$38,2,FALSE))</f>
        <v/>
      </c>
      <c r="AD49" s="95" t="str">
        <f>IF(AB49="","",VLOOKUP(AB49,'11. Lists'!$F$36:$H$38,3,FALSE))</f>
        <v/>
      </c>
      <c r="AE49" s="94" t="str">
        <f>IF(F49="","",IF(F49="Moderate",VLOOKUP(D49,'10. Condition and Temporal'!$B$6:$L$103,6,FALSE),IF(F49="Good",VLOOKUP(D49,'10. Condition and Temporal'!$B$6:$L$103,7,FALSE),IF(F49="Poor",VLOOKUP(D49,'10. Condition and Temporal'!$B$6:$L$103,8,FALSE),IF(F49="Condition Assessment N/A",VLOOKUP(D49,'10. Condition and Temporal'!$B$6:$L$103,9,FALSE),IF(F49="N/A - Other",VLOOKUP(D49,'10. Condition and Temporal'!$B$6:$L$103,10,FALSE)))))))</f>
        <v/>
      </c>
      <c r="AF49" s="109" t="str">
        <f>IF(AE49="","",VLOOKUP(AE49,'11. Lists'!$I$47:$K$80,3,FALSE))</f>
        <v/>
      </c>
      <c r="AG49" s="94" t="str">
        <f>IF(D49="","",VLOOKUP(D49,'9. All Habitats + Multipliers'!$C$4:$K$102,7,FALSE))</f>
        <v/>
      </c>
      <c r="AH49" s="95" t="str">
        <f>IF(AG49="","",VLOOKUP(AG49,'11. Lists'!$J$35:$K$38,2,FALSE))</f>
        <v/>
      </c>
    </row>
    <row r="50" spans="1:73" s="26" customFormat="1" ht="15.75" x14ac:dyDescent="0.25">
      <c r="B50" s="298">
        <v>12</v>
      </c>
      <c r="C50" s="142" t="s">
        <v>199</v>
      </c>
      <c r="D50" s="74"/>
      <c r="E50" s="107" t="str">
        <f>IF(D50="","",VLOOKUP(D50,'10. Condition and Temporal'!$B$6:$D$103,3,FALSE))</f>
        <v/>
      </c>
      <c r="F50" s="640"/>
      <c r="G50" s="641"/>
      <c r="H50" s="72"/>
      <c r="I50" s="657"/>
      <c r="J50" s="658"/>
      <c r="K50" s="658"/>
      <c r="L50" s="796" t="str">
        <f t="shared" si="8"/>
        <v/>
      </c>
      <c r="M50" s="797"/>
      <c r="N50" s="798"/>
      <c r="O50" s="75"/>
      <c r="P50" s="12"/>
      <c r="R50" s="664"/>
      <c r="T50" s="593" t="str">
        <f>IF(D50="","",VLOOKUP(D50,'9. All Habitats + Multipliers'!$C$4:$K$102,5,FALSE))</f>
        <v/>
      </c>
      <c r="U50" s="594"/>
      <c r="V50" s="95" t="str">
        <f>IF(T50="","",VLOOKUP(T50,'11. Lists'!$B$47:$D$49,2,FALSE))</f>
        <v/>
      </c>
      <c r="W50" s="205" t="str">
        <f t="shared" si="10"/>
        <v/>
      </c>
      <c r="X50" s="96" t="str">
        <f>IF(W50="","",VLOOKUP(W50,'11. Lists'!$F$47:$G$51,2,FALSE))</f>
        <v/>
      </c>
      <c r="Y50" s="392"/>
      <c r="Z50" s="392"/>
      <c r="AA50" s="392"/>
      <c r="AB50" s="96" t="str">
        <f t="shared" si="9"/>
        <v/>
      </c>
      <c r="AC50" s="96" t="str">
        <f>IF(AB50="","",VLOOKUP(AB50,'11. Lists'!$F$36:$H$38,2,FALSE))</f>
        <v/>
      </c>
      <c r="AD50" s="95" t="str">
        <f>IF(AB50="","",VLOOKUP(AB50,'11. Lists'!$F$36:$H$38,3,FALSE))</f>
        <v/>
      </c>
      <c r="AE50" s="94" t="str">
        <f>IF(F50="","",IF(F50="Moderate",VLOOKUP(D50,'10. Condition and Temporal'!$B$6:$L$103,6,FALSE),IF(F50="Good",VLOOKUP(D50,'10. Condition and Temporal'!$B$6:$L$103,7,FALSE),IF(F50="Poor",VLOOKUP(D50,'10. Condition and Temporal'!$B$6:$L$103,8,FALSE),IF(F50="Condition Assessment N/A",VLOOKUP(D50,'10. Condition and Temporal'!$B$6:$L$103,9,FALSE),IF(F50="N/A - Other",VLOOKUP(D50,'10. Condition and Temporal'!$B$6:$L$103,10,FALSE)))))))</f>
        <v/>
      </c>
      <c r="AF50" s="109" t="str">
        <f>IF(AE50="","",VLOOKUP(AE50,'11. Lists'!$I$47:$K$80,3,FALSE))</f>
        <v/>
      </c>
      <c r="AG50" s="94" t="str">
        <f>IF(D50="","",VLOOKUP(D50,'9. All Habitats + Multipliers'!$C$4:$K$102,7,FALSE))</f>
        <v/>
      </c>
      <c r="AH50" s="95" t="str">
        <f>IF(AG50="","",VLOOKUP(AG50,'11. Lists'!$J$35:$K$38,2,FALSE))</f>
        <v/>
      </c>
    </row>
    <row r="51" spans="1:73" s="26" customFormat="1" ht="15.75" x14ac:dyDescent="0.25">
      <c r="B51" s="298">
        <v>13</v>
      </c>
      <c r="C51" s="142" t="s">
        <v>199</v>
      </c>
      <c r="D51" s="74"/>
      <c r="E51" s="107" t="str">
        <f>IF(D51="","",VLOOKUP(D51,'10. Condition and Temporal'!$B$6:$D$103,3,FALSE))</f>
        <v/>
      </c>
      <c r="F51" s="640"/>
      <c r="G51" s="641"/>
      <c r="H51" s="72"/>
      <c r="I51" s="657"/>
      <c r="J51" s="658"/>
      <c r="K51" s="658"/>
      <c r="L51" s="796" t="str">
        <f t="shared" si="8"/>
        <v/>
      </c>
      <c r="M51" s="797"/>
      <c r="N51" s="798"/>
      <c r="O51" s="75"/>
      <c r="P51" s="12"/>
      <c r="R51" s="664"/>
      <c r="T51" s="593" t="str">
        <f>IF(D51="","",VLOOKUP(D51,'9. All Habitats + Multipliers'!$C$4:$K$102,5,FALSE))</f>
        <v/>
      </c>
      <c r="U51" s="594"/>
      <c r="V51" s="95" t="str">
        <f>IF(T51="","",VLOOKUP(T51,'11. Lists'!$B$47:$D$49,2,FALSE))</f>
        <v/>
      </c>
      <c r="W51" s="205" t="str">
        <f t="shared" si="10"/>
        <v/>
      </c>
      <c r="X51" s="96" t="str">
        <f>IF(W51="","",VLOOKUP(W51,'11. Lists'!$F$47:$G$51,2,FALSE))</f>
        <v/>
      </c>
      <c r="Y51" s="392"/>
      <c r="Z51" s="392"/>
      <c r="AA51" s="392"/>
      <c r="AB51" s="96" t="str">
        <f t="shared" si="9"/>
        <v/>
      </c>
      <c r="AC51" s="96" t="str">
        <f>IF(AB51="","",VLOOKUP(AB51,'11. Lists'!$F$36:$H$38,2,FALSE))</f>
        <v/>
      </c>
      <c r="AD51" s="95" t="str">
        <f>IF(AB51="","",VLOOKUP(AB51,'11. Lists'!$F$36:$H$38,3,FALSE))</f>
        <v/>
      </c>
      <c r="AE51" s="94" t="str">
        <f>IF(F51="","",IF(F51="Moderate",VLOOKUP(D51,'10. Condition and Temporal'!$B$6:$L$103,6,FALSE),IF(F51="Good",VLOOKUP(D51,'10. Condition and Temporal'!$B$6:$L$103,7,FALSE),IF(F51="Poor",VLOOKUP(D51,'10. Condition and Temporal'!$B$6:$L$103,8,FALSE),IF(F51="Condition Assessment N/A",VLOOKUP(D51,'10. Condition and Temporal'!$B$6:$L$103,9,FALSE),IF(F51="N/A - Other",VLOOKUP(D51,'10. Condition and Temporal'!$B$6:$L$103,10,FALSE)))))))</f>
        <v/>
      </c>
      <c r="AF51" s="109" t="str">
        <f>IF(AE51="","",VLOOKUP(AE51,'11. Lists'!$I$47:$K$80,3,FALSE))</f>
        <v/>
      </c>
      <c r="AG51" s="94" t="str">
        <f>IF(D51="","",VLOOKUP(D51,'9. All Habitats + Multipliers'!$C$4:$K$102,7,FALSE))</f>
        <v/>
      </c>
      <c r="AH51" s="95" t="str">
        <f>IF(AG51="","",VLOOKUP(AG51,'11. Lists'!$J$35:$K$38,2,FALSE))</f>
        <v/>
      </c>
    </row>
    <row r="52" spans="1:73" s="26" customFormat="1" ht="15.75" x14ac:dyDescent="0.25">
      <c r="B52" s="298">
        <v>14</v>
      </c>
      <c r="C52" s="142" t="s">
        <v>199</v>
      </c>
      <c r="D52" s="74"/>
      <c r="E52" s="107" t="str">
        <f>IF(D52="","",VLOOKUP(D52,'10. Condition and Temporal'!$B$6:$D$103,3,FALSE))</f>
        <v/>
      </c>
      <c r="F52" s="640"/>
      <c r="G52" s="641"/>
      <c r="H52" s="72"/>
      <c r="I52" s="657"/>
      <c r="J52" s="658"/>
      <c r="K52" s="658"/>
      <c r="L52" s="796" t="str">
        <f t="shared" si="8"/>
        <v/>
      </c>
      <c r="M52" s="797"/>
      <c r="N52" s="798"/>
      <c r="O52" s="75"/>
      <c r="P52" s="12"/>
      <c r="R52" s="664"/>
      <c r="T52" s="593" t="str">
        <f>IF(D52="","",VLOOKUP(D52,'9. All Habitats + Multipliers'!$C$4:$K$102,5,FALSE))</f>
        <v/>
      </c>
      <c r="U52" s="594"/>
      <c r="V52" s="95" t="str">
        <f>IF(T52="","",VLOOKUP(T52,'11. Lists'!$B$47:$D$49,2,FALSE))</f>
        <v/>
      </c>
      <c r="W52" s="205" t="str">
        <f t="shared" si="10"/>
        <v/>
      </c>
      <c r="X52" s="96" t="str">
        <f>IF(W52="","",VLOOKUP(W52,'11. Lists'!$F$47:$G$51,2,FALSE))</f>
        <v/>
      </c>
      <c r="Y52" s="392"/>
      <c r="Z52" s="392"/>
      <c r="AA52" s="392"/>
      <c r="AB52" s="96" t="str">
        <f t="shared" si="9"/>
        <v/>
      </c>
      <c r="AC52" s="96" t="str">
        <f>IF(AB52="","",VLOOKUP(AB52,'11. Lists'!$F$36:$H$38,2,FALSE))</f>
        <v/>
      </c>
      <c r="AD52" s="95" t="str">
        <f>IF(AB52="","",VLOOKUP(AB52,'11. Lists'!$F$36:$H$38,3,FALSE))</f>
        <v/>
      </c>
      <c r="AE52" s="94" t="str">
        <f>IF(F52="","",IF(F52="Moderate",VLOOKUP(D52,'10. Condition and Temporal'!$B$6:$L$103,6,FALSE),IF(F52="Good",VLOOKUP(D52,'10. Condition and Temporal'!$B$6:$L$103,7,FALSE),IF(F52="Poor",VLOOKUP(D52,'10. Condition and Temporal'!$B$6:$L$103,8,FALSE),IF(F52="Condition Assessment N/A",VLOOKUP(D52,'10. Condition and Temporal'!$B$6:$L$103,9,FALSE),IF(F52="N/A - Other",VLOOKUP(D52,'10. Condition and Temporal'!$B$6:$L$103,10,FALSE)))))))</f>
        <v/>
      </c>
      <c r="AF52" s="109" t="str">
        <f>IF(AE52="","",VLOOKUP(AE52,'11. Lists'!$I$47:$K$80,3,FALSE))</f>
        <v/>
      </c>
      <c r="AG52" s="94" t="str">
        <f>IF(D52="","",VLOOKUP(D52,'9. All Habitats + Multipliers'!$C$4:$K$102,7,FALSE))</f>
        <v/>
      </c>
      <c r="AH52" s="95" t="str">
        <f>IF(AG52="","",VLOOKUP(AG52,'11. Lists'!$J$35:$K$38,2,FALSE))</f>
        <v/>
      </c>
    </row>
    <row r="53" spans="1:73" s="26" customFormat="1" ht="15.75" x14ac:dyDescent="0.25">
      <c r="B53" s="298">
        <v>15</v>
      </c>
      <c r="C53" s="142" t="s">
        <v>199</v>
      </c>
      <c r="D53" s="74"/>
      <c r="E53" s="107" t="str">
        <f>IF(D53="","",VLOOKUP(D53,'10. Condition and Temporal'!$B$6:$D$103,3,FALSE))</f>
        <v/>
      </c>
      <c r="F53" s="640"/>
      <c r="G53" s="641"/>
      <c r="H53" s="72"/>
      <c r="I53" s="657"/>
      <c r="J53" s="658"/>
      <c r="K53" s="658"/>
      <c r="L53" s="796" t="str">
        <f t="shared" si="8"/>
        <v/>
      </c>
      <c r="M53" s="797"/>
      <c r="N53" s="798"/>
      <c r="O53" s="75"/>
      <c r="P53" s="12"/>
      <c r="R53" s="664"/>
      <c r="T53" s="593" t="str">
        <f>IF(D53="","",VLOOKUP(D53,'9. All Habitats + Multipliers'!$C$4:$K$102,5,FALSE))</f>
        <v/>
      </c>
      <c r="U53" s="594"/>
      <c r="V53" s="95" t="str">
        <f>IF(T53="","",VLOOKUP(T53,'11. Lists'!$B$47:$D$49,2,FALSE))</f>
        <v/>
      </c>
      <c r="W53" s="205" t="str">
        <f t="shared" si="10"/>
        <v/>
      </c>
      <c r="X53" s="96" t="str">
        <f>IF(W53="","",VLOOKUP(W53,'11. Lists'!$F$47:$G$51,2,FALSE))</f>
        <v/>
      </c>
      <c r="Y53" s="392"/>
      <c r="Z53" s="392"/>
      <c r="AA53" s="392"/>
      <c r="AB53" s="96" t="str">
        <f t="shared" si="9"/>
        <v/>
      </c>
      <c r="AC53" s="96" t="str">
        <f>IF(AB53="","",VLOOKUP(AB53,'11. Lists'!$F$36:$H$38,2,FALSE))</f>
        <v/>
      </c>
      <c r="AD53" s="95" t="str">
        <f>IF(AB53="","",VLOOKUP(AB53,'11. Lists'!$F$36:$H$38,3,FALSE))</f>
        <v/>
      </c>
      <c r="AE53" s="94" t="str">
        <f>IF(F53="","",IF(F53="Moderate",VLOOKUP(D53,'10. Condition and Temporal'!$B$6:$L$103,6,FALSE),IF(F53="Good",VLOOKUP(D53,'10. Condition and Temporal'!$B$6:$L$103,7,FALSE),IF(F53="Poor",VLOOKUP(D53,'10. Condition and Temporal'!$B$6:$L$103,8,FALSE),IF(F53="Condition Assessment N/A",VLOOKUP(D53,'10. Condition and Temporal'!$B$6:$L$103,9,FALSE),IF(F53="N/A - Other",VLOOKUP(D53,'10. Condition and Temporal'!$B$6:$L$103,10,FALSE)))))))</f>
        <v/>
      </c>
      <c r="AF53" s="109" t="str">
        <f>IF(AE53="","",VLOOKUP(AE53,'11. Lists'!$I$47:$K$80,3,FALSE))</f>
        <v/>
      </c>
      <c r="AG53" s="94" t="str">
        <f>IF(D53="","",VLOOKUP(D53,'9. All Habitats + Multipliers'!$C$4:$K$102,7,FALSE))</f>
        <v/>
      </c>
      <c r="AH53" s="95" t="str">
        <f>IF(AG53="","",VLOOKUP(AG53,'11. Lists'!$J$35:$K$38,2,FALSE))</f>
        <v/>
      </c>
    </row>
    <row r="54" spans="1:73" s="26" customFormat="1" ht="15.75" x14ac:dyDescent="0.25">
      <c r="B54" s="298">
        <v>16</v>
      </c>
      <c r="C54" s="142" t="s">
        <v>199</v>
      </c>
      <c r="D54" s="74"/>
      <c r="E54" s="107" t="str">
        <f>IF(D54="","",VLOOKUP(D54,'10. Condition and Temporal'!$B$6:$D$103,3,FALSE))</f>
        <v/>
      </c>
      <c r="F54" s="640"/>
      <c r="G54" s="641"/>
      <c r="H54" s="72"/>
      <c r="I54" s="657"/>
      <c r="J54" s="658"/>
      <c r="K54" s="658"/>
      <c r="L54" s="796" t="str">
        <f t="shared" si="8"/>
        <v/>
      </c>
      <c r="M54" s="797"/>
      <c r="N54" s="798"/>
      <c r="O54" s="75"/>
      <c r="P54" s="12"/>
      <c r="R54" s="664"/>
      <c r="T54" s="593" t="str">
        <f>IF(D54="","",VLOOKUP(D54,'9. All Habitats + Multipliers'!$C$4:$K$102,5,FALSE))</f>
        <v/>
      </c>
      <c r="U54" s="594"/>
      <c r="V54" s="95" t="str">
        <f>IF(T54="","",VLOOKUP(T54,'11. Lists'!$B$47:$D$49,2,FALSE))</f>
        <v/>
      </c>
      <c r="W54" s="205" t="str">
        <f t="shared" si="10"/>
        <v/>
      </c>
      <c r="X54" s="96" t="str">
        <f>IF(W54="","",VLOOKUP(W54,'11. Lists'!$F$47:$G$51,2,FALSE))</f>
        <v/>
      </c>
      <c r="Y54" s="392"/>
      <c r="Z54" s="392"/>
      <c r="AA54" s="392"/>
      <c r="AB54" s="96" t="str">
        <f t="shared" si="9"/>
        <v/>
      </c>
      <c r="AC54" s="96" t="str">
        <f>IF(AB54="","",VLOOKUP(AB54,'11. Lists'!$F$36:$H$38,2,FALSE))</f>
        <v/>
      </c>
      <c r="AD54" s="95" t="str">
        <f>IF(AB54="","",VLOOKUP(AB54,'11. Lists'!$F$36:$H$38,3,FALSE))</f>
        <v/>
      </c>
      <c r="AE54" s="94" t="str">
        <f>IF(F54="","",IF(F54="Moderate",VLOOKUP(D54,'10. Condition and Temporal'!$B$6:$L$103,6,FALSE),IF(F54="Good",VLOOKUP(D54,'10. Condition and Temporal'!$B$6:$L$103,7,FALSE),IF(F54="Poor",VLOOKUP(D54,'10. Condition and Temporal'!$B$6:$L$103,8,FALSE),IF(F54="Condition Assessment N/A",VLOOKUP(D54,'10. Condition and Temporal'!$B$6:$L$103,9,FALSE),IF(F54="N/A - Other",VLOOKUP(D54,'10. Condition and Temporal'!$B$6:$L$103,10,FALSE)))))))</f>
        <v/>
      </c>
      <c r="AF54" s="109" t="str">
        <f>IF(AE54="","",VLOOKUP(AE54,'11. Lists'!$I$47:$K$80,3,FALSE))</f>
        <v/>
      </c>
      <c r="AG54" s="94" t="str">
        <f>IF(D54="","",VLOOKUP(D54,'9. All Habitats + Multipliers'!$C$4:$K$102,7,FALSE))</f>
        <v/>
      </c>
      <c r="AH54" s="95" t="str">
        <f>IF(AG54="","",VLOOKUP(AG54,'11. Lists'!$J$35:$K$38,2,FALSE))</f>
        <v/>
      </c>
    </row>
    <row r="55" spans="1:73" s="26" customFormat="1" ht="15.75" x14ac:dyDescent="0.25">
      <c r="B55" s="298">
        <v>17</v>
      </c>
      <c r="C55" s="142" t="s">
        <v>199</v>
      </c>
      <c r="D55" s="74"/>
      <c r="E55" s="107" t="str">
        <f>IF(D55="","",VLOOKUP(D55,'10. Condition and Temporal'!$B$6:$D$103,3,FALSE))</f>
        <v/>
      </c>
      <c r="F55" s="640"/>
      <c r="G55" s="641"/>
      <c r="H55" s="72"/>
      <c r="I55" s="657"/>
      <c r="J55" s="658"/>
      <c r="K55" s="658"/>
      <c r="L55" s="796" t="str">
        <f t="shared" si="8"/>
        <v/>
      </c>
      <c r="M55" s="797"/>
      <c r="N55" s="798"/>
      <c r="O55" s="75"/>
      <c r="P55" s="12"/>
      <c r="R55" s="664"/>
      <c r="T55" s="593" t="str">
        <f>IF(D55="","",VLOOKUP(D55,'9. All Habitats + Multipliers'!$C$4:$K$102,5,FALSE))</f>
        <v/>
      </c>
      <c r="U55" s="594"/>
      <c r="V55" s="95" t="str">
        <f>IF(T55="","",VLOOKUP(T55,'11. Lists'!$B$47:$D$49,2,FALSE))</f>
        <v/>
      </c>
      <c r="W55" s="205" t="str">
        <f t="shared" si="10"/>
        <v/>
      </c>
      <c r="X55" s="96" t="str">
        <f>IF(W55="","",VLOOKUP(W55,'11. Lists'!$F$47:$G$51,2,FALSE))</f>
        <v/>
      </c>
      <c r="Y55" s="392"/>
      <c r="Z55" s="392"/>
      <c r="AA55" s="392"/>
      <c r="AB55" s="96" t="str">
        <f t="shared" si="9"/>
        <v/>
      </c>
      <c r="AC55" s="96" t="str">
        <f>IF(AB55="","",VLOOKUP(AB55,'11. Lists'!$F$36:$H$38,2,FALSE))</f>
        <v/>
      </c>
      <c r="AD55" s="95" t="str">
        <f>IF(AB55="","",VLOOKUP(AB55,'11. Lists'!$F$36:$H$38,3,FALSE))</f>
        <v/>
      </c>
      <c r="AE55" s="94" t="str">
        <f>IF(F55="","",IF(F55="Moderate",VLOOKUP(D55,'10. Condition and Temporal'!$B$6:$L$103,6,FALSE),IF(F55="Good",VLOOKUP(D55,'10. Condition and Temporal'!$B$6:$L$103,7,FALSE),IF(F55="Poor",VLOOKUP(D55,'10. Condition and Temporal'!$B$6:$L$103,8,FALSE),IF(F55="Condition Assessment N/A",VLOOKUP(D55,'10. Condition and Temporal'!$B$6:$L$103,9,FALSE),IF(F55="N/A - Other",VLOOKUP(D55,'10. Condition and Temporal'!$B$6:$L$103,10,FALSE)))))))</f>
        <v/>
      </c>
      <c r="AF55" s="109" t="str">
        <f>IF(AE55="","",VLOOKUP(AE55,'11. Lists'!$I$47:$K$80,3,FALSE))</f>
        <v/>
      </c>
      <c r="AG55" s="94" t="str">
        <f>IF(D55="","",VLOOKUP(D55,'9. All Habitats + Multipliers'!$C$4:$K$102,7,FALSE))</f>
        <v/>
      </c>
      <c r="AH55" s="95" t="str">
        <f>IF(AG55="","",VLOOKUP(AG55,'11. Lists'!$J$35:$K$38,2,FALSE))</f>
        <v/>
      </c>
    </row>
    <row r="56" spans="1:73" s="26" customFormat="1" ht="15.75" x14ac:dyDescent="0.25">
      <c r="B56" s="298">
        <v>18</v>
      </c>
      <c r="C56" s="142" t="s">
        <v>199</v>
      </c>
      <c r="D56" s="74"/>
      <c r="E56" s="107" t="str">
        <f>IF(D56="","",VLOOKUP(D56,'10. Condition and Temporal'!$B$6:$D$103,3,FALSE))</f>
        <v/>
      </c>
      <c r="F56" s="640"/>
      <c r="G56" s="641"/>
      <c r="H56" s="72"/>
      <c r="I56" s="657"/>
      <c r="J56" s="658"/>
      <c r="K56" s="658"/>
      <c r="L56" s="796" t="str">
        <f t="shared" si="8"/>
        <v/>
      </c>
      <c r="M56" s="797"/>
      <c r="N56" s="798"/>
      <c r="O56" s="75"/>
      <c r="P56" s="12"/>
      <c r="R56" s="664"/>
      <c r="T56" s="593" t="str">
        <f>IF(D56="","",VLOOKUP(D56,'9. All Habitats + Multipliers'!$C$4:$K$102,5,FALSE))</f>
        <v/>
      </c>
      <c r="U56" s="594"/>
      <c r="V56" s="95" t="str">
        <f>IF(T56="","",VLOOKUP(T56,'11. Lists'!$B$47:$D$49,2,FALSE))</f>
        <v/>
      </c>
      <c r="W56" s="205" t="str">
        <f t="shared" si="10"/>
        <v/>
      </c>
      <c r="X56" s="96" t="str">
        <f>IF(W56="","",VLOOKUP(W56,'11. Lists'!$F$47:$G$51,2,FALSE))</f>
        <v/>
      </c>
      <c r="Y56" s="392"/>
      <c r="Z56" s="392"/>
      <c r="AA56" s="392"/>
      <c r="AB56" s="96" t="str">
        <f t="shared" si="9"/>
        <v/>
      </c>
      <c r="AC56" s="96" t="str">
        <f>IF(AB56="","",VLOOKUP(AB56,'11. Lists'!$F$36:$H$38,2,FALSE))</f>
        <v/>
      </c>
      <c r="AD56" s="95" t="str">
        <f>IF(AB56="","",VLOOKUP(AB56,'11. Lists'!$F$36:$H$38,3,FALSE))</f>
        <v/>
      </c>
      <c r="AE56" s="94" t="str">
        <f>IF(F56="","",IF(F56="Moderate",VLOOKUP(D56,'10. Condition and Temporal'!$B$6:$L$103,6,FALSE),IF(F56="Good",VLOOKUP(D56,'10. Condition and Temporal'!$B$6:$L$103,7,FALSE),IF(F56="Poor",VLOOKUP(D56,'10. Condition and Temporal'!$B$6:$L$103,8,FALSE),IF(F56="Condition Assessment N/A",VLOOKUP(D56,'10. Condition and Temporal'!$B$6:$L$103,9,FALSE),IF(F56="N/A - Other",VLOOKUP(D56,'10. Condition and Temporal'!$B$6:$L$103,10,FALSE)))))))</f>
        <v/>
      </c>
      <c r="AF56" s="109" t="str">
        <f>IF(AE56="","",VLOOKUP(AE56,'11. Lists'!$I$47:$K$80,3,FALSE))</f>
        <v/>
      </c>
      <c r="AG56" s="94" t="str">
        <f>IF(D56="","",VLOOKUP(D56,'9. All Habitats + Multipliers'!$C$4:$K$102,7,FALSE))</f>
        <v/>
      </c>
      <c r="AH56" s="95" t="str">
        <f>IF(AG56="","",VLOOKUP(AG56,'11. Lists'!$J$35:$K$38,2,FALSE))</f>
        <v/>
      </c>
    </row>
    <row r="57" spans="1:73" s="26" customFormat="1" ht="15.75" x14ac:dyDescent="0.25">
      <c r="B57" s="298">
        <v>19</v>
      </c>
      <c r="C57" s="142" t="s">
        <v>199</v>
      </c>
      <c r="D57" s="74"/>
      <c r="E57" s="107" t="str">
        <f>IF(D57="","",VLOOKUP(D57,'10. Condition and Temporal'!$B$6:$D$103,3,FALSE))</f>
        <v/>
      </c>
      <c r="F57" s="640"/>
      <c r="G57" s="641"/>
      <c r="H57" s="72"/>
      <c r="I57" s="657"/>
      <c r="J57" s="658"/>
      <c r="K57" s="658"/>
      <c r="L57" s="796" t="str">
        <f t="shared" si="8"/>
        <v/>
      </c>
      <c r="M57" s="797"/>
      <c r="N57" s="798"/>
      <c r="O57" s="75"/>
      <c r="P57" s="12"/>
      <c r="R57" s="664"/>
      <c r="T57" s="593" t="str">
        <f>IF(D57="","",VLOOKUP(D57,'9. All Habitats + Multipliers'!$C$4:$K$102,5,FALSE))</f>
        <v/>
      </c>
      <c r="U57" s="594"/>
      <c r="V57" s="95" t="str">
        <f>IF(T57="","",VLOOKUP(T57,'11. Lists'!$B$47:$D$49,2,FALSE))</f>
        <v/>
      </c>
      <c r="W57" s="205" t="str">
        <f t="shared" si="10"/>
        <v/>
      </c>
      <c r="X57" s="96" t="str">
        <f>IF(W57="","",VLOOKUP(W57,'11. Lists'!$F$47:$G$51,2,FALSE))</f>
        <v/>
      </c>
      <c r="Y57" s="392"/>
      <c r="Z57" s="392"/>
      <c r="AA57" s="392"/>
      <c r="AB57" s="96" t="str">
        <f t="shared" si="9"/>
        <v/>
      </c>
      <c r="AC57" s="96" t="str">
        <f>IF(AB57="","",VLOOKUP(AB57,'11. Lists'!$F$36:$H$38,2,FALSE))</f>
        <v/>
      </c>
      <c r="AD57" s="95" t="str">
        <f>IF(AB57="","",VLOOKUP(AB57,'11. Lists'!$F$36:$H$38,3,FALSE))</f>
        <v/>
      </c>
      <c r="AE57" s="94" t="str">
        <f>IF(F57="","",IF(F57="Moderate",VLOOKUP(D57,'10. Condition and Temporal'!$B$6:$L$103,6,FALSE),IF(F57="Good",VLOOKUP(D57,'10. Condition and Temporal'!$B$6:$L$103,7,FALSE),IF(F57="Poor",VLOOKUP(D57,'10. Condition and Temporal'!$B$6:$L$103,8,FALSE),IF(F57="Condition Assessment N/A",VLOOKUP(D57,'10. Condition and Temporal'!$B$6:$L$103,9,FALSE),IF(F57="N/A - Other",VLOOKUP(D57,'10. Condition and Temporal'!$B$6:$L$103,10,FALSE)))))))</f>
        <v/>
      </c>
      <c r="AF57" s="109" t="str">
        <f>IF(AE57="","",VLOOKUP(AE57,'11. Lists'!$I$47:$K$80,3,FALSE))</f>
        <v/>
      </c>
      <c r="AG57" s="94" t="str">
        <f>IF(D57="","",VLOOKUP(D57,'9. All Habitats + Multipliers'!$C$4:$K$102,7,FALSE))</f>
        <v/>
      </c>
      <c r="AH57" s="95" t="str">
        <f>IF(AG57="","",VLOOKUP(AG57,'11. Lists'!$J$35:$K$38,2,FALSE))</f>
        <v/>
      </c>
    </row>
    <row r="58" spans="1:73" s="26" customFormat="1" ht="16.5" thickBot="1" x14ac:dyDescent="0.3">
      <c r="B58" s="299">
        <v>20</v>
      </c>
      <c r="C58" s="148" t="s">
        <v>199</v>
      </c>
      <c r="D58" s="138"/>
      <c r="E58" s="139" t="str">
        <f>IF(D58="","",VLOOKUP(D58,'10. Condition and Temporal'!$B$6:$D$103,3,FALSE))</f>
        <v/>
      </c>
      <c r="F58" s="848"/>
      <c r="G58" s="849"/>
      <c r="H58" s="140"/>
      <c r="I58" s="850"/>
      <c r="J58" s="851"/>
      <c r="K58" s="851"/>
      <c r="L58" s="791" t="str">
        <f t="shared" si="8"/>
        <v/>
      </c>
      <c r="M58" s="792"/>
      <c r="N58" s="793"/>
      <c r="O58" s="76"/>
      <c r="P58" s="14"/>
      <c r="R58" s="664"/>
      <c r="T58" s="595" t="str">
        <f>IF(D58="","",VLOOKUP(D58,'9. All Habitats + Multipliers'!$C$4:$K$102,5,FALSE))</f>
        <v/>
      </c>
      <c r="U58" s="596"/>
      <c r="V58" s="95" t="str">
        <f>IF(T58="","",VLOOKUP(T58,'11. Lists'!$B$47:$D$49,2,FALSE))</f>
        <v/>
      </c>
      <c r="W58" s="205" t="str">
        <f t="shared" si="10"/>
        <v/>
      </c>
      <c r="X58" s="96" t="str">
        <f>IF(W58="","",VLOOKUP(W58,'11. Lists'!$F$47:$G$51,2,FALSE))</f>
        <v/>
      </c>
      <c r="Y58" s="392"/>
      <c r="Z58" s="392"/>
      <c r="AA58" s="392"/>
      <c r="AB58" s="96" t="str">
        <f t="shared" si="9"/>
        <v/>
      </c>
      <c r="AC58" s="96" t="str">
        <f>IF(AB58="","",VLOOKUP(AB58,'11. Lists'!$F$36:$H$38,2,FALSE))</f>
        <v/>
      </c>
      <c r="AD58" s="95" t="str">
        <f>IF(AB58="","",VLOOKUP(AB58,'11. Lists'!$F$36:$H$38,3,FALSE))</f>
        <v/>
      </c>
      <c r="AE58" s="94" t="str">
        <f>IF(F58="","",IF(F58="Moderate",VLOOKUP(D58,'10. Condition and Temporal'!$B$6:$L$103,6,FALSE),IF(F58="Good",VLOOKUP(D58,'10. Condition and Temporal'!$B$6:$L$103,7,FALSE),IF(F58="Poor",VLOOKUP(D58,'10. Condition and Temporal'!$B$6:$L$103,8,FALSE),IF(F58="Condition Assessment N/A",VLOOKUP(D58,'10. Condition and Temporal'!$B$6:$L$103,9,FALSE),IF(F58="N/A - Other",VLOOKUP(D58,'10. Condition and Temporal'!$B$6:$L$103,10,FALSE)))))))</f>
        <v/>
      </c>
      <c r="AF58" s="109" t="str">
        <f>IF(AE58="","",VLOOKUP(AE58,'11. Lists'!$I$47:$K$80,3,FALSE))</f>
        <v/>
      </c>
      <c r="AG58" s="94" t="str">
        <f>IF(D58="","",VLOOKUP(D58,'9. All Habitats + Multipliers'!$C$4:$K$102,7,FALSE))</f>
        <v/>
      </c>
      <c r="AH58" s="95" t="str">
        <f>IF(AG58="","",VLOOKUP(AG58,'11. Lists'!$J$35:$K$38,2,FALSE))</f>
        <v/>
      </c>
    </row>
    <row r="59" spans="1:73" s="26" customFormat="1" ht="15.75" thickBot="1" x14ac:dyDescent="0.3">
      <c r="H59" s="303" t="s">
        <v>194</v>
      </c>
      <c r="I59" s="754">
        <f>SUM(I39:K58)</f>
        <v>0</v>
      </c>
      <c r="J59" s="755"/>
      <c r="K59" s="756"/>
      <c r="L59" s="625">
        <f>SUM(L39:N58)</f>
        <v>0</v>
      </c>
      <c r="M59" s="757"/>
      <c r="N59" s="622"/>
      <c r="R59" s="664"/>
    </row>
    <row r="60" spans="1:73" s="26" customFormat="1" x14ac:dyDescent="0.25">
      <c r="R60" s="664"/>
    </row>
    <row r="61" spans="1:73" s="26" customFormat="1" x14ac:dyDescent="0.25">
      <c r="R61" s="664"/>
      <c r="BA61" s="51" t="s">
        <v>100</v>
      </c>
    </row>
    <row r="62" spans="1:73" s="26" customFormat="1" ht="21" x14ac:dyDescent="0.35">
      <c r="B62" s="58" t="s">
        <v>101</v>
      </c>
      <c r="D62" s="89"/>
      <c r="H62" s="27"/>
      <c r="R62" s="664"/>
      <c r="BA62" s="51" t="s">
        <v>102</v>
      </c>
    </row>
    <row r="63" spans="1:73" s="26" customFormat="1" ht="15.75" thickBot="1" x14ac:dyDescent="0.3">
      <c r="A63" s="813"/>
      <c r="R63" s="664"/>
    </row>
    <row r="64" spans="1:73" s="26" customFormat="1" ht="16.149999999999999" customHeight="1" thickBot="1" x14ac:dyDescent="0.3">
      <c r="A64" s="813"/>
      <c r="B64" s="607" t="s">
        <v>103</v>
      </c>
      <c r="C64" s="603" t="s">
        <v>966</v>
      </c>
      <c r="D64" s="605"/>
      <c r="E64" s="674" t="s">
        <v>200</v>
      </c>
      <c r="F64" s="679"/>
      <c r="G64" s="687"/>
      <c r="H64" s="748" t="s">
        <v>105</v>
      </c>
      <c r="I64" s="748" t="s">
        <v>201</v>
      </c>
      <c r="J64" s="599" t="s">
        <v>107</v>
      </c>
      <c r="K64" s="599"/>
      <c r="L64" s="603" t="s">
        <v>957</v>
      </c>
      <c r="M64" s="604" t="s">
        <v>108</v>
      </c>
      <c r="N64" s="605"/>
      <c r="O64" s="746" t="s">
        <v>54</v>
      </c>
      <c r="P64" s="747"/>
      <c r="R64" s="664"/>
      <c r="T64" s="590" t="s">
        <v>109</v>
      </c>
      <c r="U64" s="591"/>
      <c r="V64" s="591"/>
      <c r="W64" s="591"/>
      <c r="X64" s="591"/>
      <c r="Y64" s="591"/>
      <c r="Z64" s="591"/>
      <c r="AA64" s="591"/>
      <c r="AB64" s="591"/>
      <c r="AC64" s="591"/>
      <c r="AD64" s="592"/>
      <c r="AE64" s="748" t="s">
        <v>110</v>
      </c>
      <c r="AF64" s="590" t="s">
        <v>111</v>
      </c>
      <c r="AG64" s="591"/>
      <c r="AH64" s="591"/>
      <c r="AI64" s="591"/>
      <c r="AJ64" s="591"/>
      <c r="AK64" s="591"/>
      <c r="AL64" s="591"/>
      <c r="AM64" s="591"/>
      <c r="AN64" s="591"/>
      <c r="AO64" s="591"/>
      <c r="AP64" s="592"/>
      <c r="AQ64" s="750" t="s">
        <v>123</v>
      </c>
      <c r="AR64" s="590" t="s">
        <v>111</v>
      </c>
      <c r="AS64" s="591"/>
      <c r="AT64" s="591"/>
      <c r="AU64" s="591"/>
      <c r="AV64" s="592"/>
      <c r="BA64" s="160" t="s">
        <v>112</v>
      </c>
      <c r="BB64" s="206">
        <f>COUNTIF(BB66:BB85,"?*")</f>
        <v>0</v>
      </c>
      <c r="BC64" s="206">
        <f t="shared" ref="BC64:BU64" si="11">COUNTIF(BC66:BC85,"?*")</f>
        <v>0</v>
      </c>
      <c r="BD64" s="206">
        <f t="shared" si="11"/>
        <v>0</v>
      </c>
      <c r="BE64" s="206">
        <f t="shared" si="11"/>
        <v>0</v>
      </c>
      <c r="BF64" s="206">
        <f t="shared" si="11"/>
        <v>0</v>
      </c>
      <c r="BG64" s="206">
        <f t="shared" si="11"/>
        <v>0</v>
      </c>
      <c r="BH64" s="206">
        <f t="shared" si="11"/>
        <v>0</v>
      </c>
      <c r="BI64" s="206">
        <f t="shared" si="11"/>
        <v>0</v>
      </c>
      <c r="BJ64" s="206">
        <f t="shared" si="11"/>
        <v>0</v>
      </c>
      <c r="BK64" s="206">
        <f t="shared" si="11"/>
        <v>0</v>
      </c>
      <c r="BL64" s="206">
        <f t="shared" si="11"/>
        <v>0</v>
      </c>
      <c r="BM64" s="206">
        <f t="shared" si="11"/>
        <v>0</v>
      </c>
      <c r="BN64" s="206">
        <f t="shared" si="11"/>
        <v>0</v>
      </c>
      <c r="BO64" s="206">
        <f t="shared" si="11"/>
        <v>0</v>
      </c>
      <c r="BP64" s="206">
        <f t="shared" si="11"/>
        <v>0</v>
      </c>
      <c r="BQ64" s="206">
        <f t="shared" si="11"/>
        <v>0</v>
      </c>
      <c r="BR64" s="206">
        <f t="shared" si="11"/>
        <v>0</v>
      </c>
      <c r="BS64" s="206">
        <f t="shared" si="11"/>
        <v>0</v>
      </c>
      <c r="BT64" s="206">
        <f t="shared" si="11"/>
        <v>0</v>
      </c>
      <c r="BU64" s="206">
        <f t="shared" si="11"/>
        <v>0</v>
      </c>
    </row>
    <row r="65" spans="1:76" s="26" customFormat="1" ht="45.6" customHeight="1" thickBot="1" x14ac:dyDescent="0.3">
      <c r="A65" s="813"/>
      <c r="B65" s="845"/>
      <c r="C65" s="499" t="s">
        <v>113</v>
      </c>
      <c r="D65" s="459" t="s">
        <v>114</v>
      </c>
      <c r="E65" s="457" t="s">
        <v>115</v>
      </c>
      <c r="F65" s="846" t="s">
        <v>116</v>
      </c>
      <c r="G65" s="847"/>
      <c r="H65" s="597"/>
      <c r="I65" s="597"/>
      <c r="J65" s="862"/>
      <c r="K65" s="862"/>
      <c r="L65" s="853"/>
      <c r="M65" s="854"/>
      <c r="N65" s="855"/>
      <c r="O65" s="461" t="s">
        <v>69</v>
      </c>
      <c r="P65" s="459" t="s">
        <v>70</v>
      </c>
      <c r="R65" s="664"/>
      <c r="T65" s="195" t="s">
        <v>916</v>
      </c>
      <c r="U65" s="114" t="s">
        <v>117</v>
      </c>
      <c r="V65" s="115" t="s">
        <v>118</v>
      </c>
      <c r="W65" s="418" t="s">
        <v>119</v>
      </c>
      <c r="X65" s="407" t="s">
        <v>120</v>
      </c>
      <c r="Y65" s="416"/>
      <c r="Z65" s="416"/>
      <c r="AA65" s="416"/>
      <c r="AB65" s="408" t="s">
        <v>121</v>
      </c>
      <c r="AC65" s="417" t="s">
        <v>122</v>
      </c>
      <c r="AD65" s="115" t="s">
        <v>917</v>
      </c>
      <c r="AE65" s="598"/>
      <c r="AF65" s="381" t="s">
        <v>916</v>
      </c>
      <c r="AG65" s="401" t="s">
        <v>71</v>
      </c>
      <c r="AH65" s="400" t="s">
        <v>72</v>
      </c>
      <c r="AI65" s="401" t="s">
        <v>73</v>
      </c>
      <c r="AJ65" s="404" t="s">
        <v>72</v>
      </c>
      <c r="AK65" s="405"/>
      <c r="AL65" s="405"/>
      <c r="AM65" s="405"/>
      <c r="AN65" s="404" t="s">
        <v>57</v>
      </c>
      <c r="AO65" s="403" t="s">
        <v>57</v>
      </c>
      <c r="AP65" s="400" t="s">
        <v>74</v>
      </c>
      <c r="AQ65" s="840"/>
      <c r="AR65" s="400" t="s">
        <v>124</v>
      </c>
      <c r="AS65" s="401" t="s">
        <v>125</v>
      </c>
      <c r="AT65" s="400" t="s">
        <v>126</v>
      </c>
      <c r="AU65" s="402" t="s">
        <v>127</v>
      </c>
      <c r="AV65" s="400" t="s">
        <v>128</v>
      </c>
      <c r="AW65" s="202" t="s">
        <v>129</v>
      </c>
      <c r="AX65" s="203" t="s">
        <v>130</v>
      </c>
      <c r="BA65" s="84" t="s">
        <v>131</v>
      </c>
      <c r="BB65" s="181">
        <v>1</v>
      </c>
      <c r="BC65" s="181">
        <v>2</v>
      </c>
      <c r="BD65" s="181">
        <v>3</v>
      </c>
      <c r="BE65" s="181">
        <v>4</v>
      </c>
      <c r="BF65" s="181">
        <v>5</v>
      </c>
      <c r="BG65" s="181">
        <v>6</v>
      </c>
      <c r="BH65" s="181">
        <v>7</v>
      </c>
      <c r="BI65" s="181">
        <v>8</v>
      </c>
      <c r="BJ65" s="181">
        <v>9</v>
      </c>
      <c r="BK65" s="181">
        <v>10</v>
      </c>
      <c r="BL65" s="181">
        <v>11</v>
      </c>
      <c r="BM65" s="181">
        <v>12</v>
      </c>
      <c r="BN65" s="181">
        <v>13</v>
      </c>
      <c r="BO65" s="181">
        <v>14</v>
      </c>
      <c r="BP65" s="181">
        <v>15</v>
      </c>
      <c r="BQ65" s="181">
        <v>16</v>
      </c>
      <c r="BR65" s="181">
        <v>17</v>
      </c>
      <c r="BS65" s="181">
        <v>18</v>
      </c>
      <c r="BT65" s="181">
        <v>19</v>
      </c>
      <c r="BU65" s="181">
        <v>20</v>
      </c>
      <c r="BV65" s="204" t="s">
        <v>132</v>
      </c>
      <c r="BW65" s="181" t="s">
        <v>133</v>
      </c>
      <c r="BX65" s="181" t="s">
        <v>134</v>
      </c>
    </row>
    <row r="66" spans="1:76" s="26" customFormat="1" ht="15.75" x14ac:dyDescent="0.25">
      <c r="B66" s="304">
        <v>1</v>
      </c>
      <c r="C66" s="488" t="str">
        <f t="shared" ref="C66:C85" si="12">IF(D66="","",C11)</f>
        <v/>
      </c>
      <c r="D66" s="489" t="str">
        <f>IF(OR(K11="", K11=0),"",D11)</f>
        <v/>
      </c>
      <c r="E66" s="490" t="str">
        <f t="shared" ref="E66:E85" si="13">IF(AX66="","",AX66)</f>
        <v/>
      </c>
      <c r="F66" s="785"/>
      <c r="G66" s="786"/>
      <c r="H66" s="491" t="str">
        <f t="shared" ref="H66:H85" si="14">IF(D66="","",AB66)</f>
        <v/>
      </c>
      <c r="I66" s="496" t="str">
        <f>IF(OR(K11="",K11=0),"",K11)</f>
        <v/>
      </c>
      <c r="J66" s="863" t="str">
        <f>IF(F66="","",VLOOKUP(F66,'10. Condition and Temporal'!$B$6:$F$103,5,FALSE))</f>
        <v/>
      </c>
      <c r="K66" s="864"/>
      <c r="L66" s="460" t="str">
        <f>IFERROR(IF(D66="","",IF(AX66="Distinctiveness",(((((I66*AH66*AJ66)-(I66*V66*X66))*(AV66*AT66))+(I66*V66*X66))*AP66)/1000,((((I66*AH66*AJ66)-(I66*V66*X66))*(AV66*AR66))+(I66*V66*X66))*AP66/1000)),"This intervention is not permitted within the SSM ▲")</f>
        <v/>
      </c>
      <c r="M66" s="824" t="str">
        <f>IFERROR(IF(F66="","",L66-AD66), "Error ▲")</f>
        <v/>
      </c>
      <c r="N66" s="824"/>
      <c r="O66" s="246"/>
      <c r="P66" s="147"/>
      <c r="R66" s="664"/>
      <c r="T66" s="196" t="str">
        <f t="shared" ref="T66:T85" si="15">IF(D66="","",K11)</f>
        <v/>
      </c>
      <c r="U66" s="117" t="str">
        <f>IF($D66="","",T11)</f>
        <v/>
      </c>
      <c r="V66" s="118" t="str">
        <f t="shared" ref="V66:X85" si="16">IF($D66="","",V11)</f>
        <v/>
      </c>
      <c r="W66" s="116" t="str">
        <f t="shared" si="16"/>
        <v/>
      </c>
      <c r="X66" s="94" t="str">
        <f t="shared" si="16"/>
        <v/>
      </c>
      <c r="Y66" s="392"/>
      <c r="Z66" s="392"/>
      <c r="AA66" s="392"/>
      <c r="AB66" s="95" t="str">
        <f t="shared" ref="AB66:AB85" si="17">IF($D66="","",AB11)</f>
        <v/>
      </c>
      <c r="AC66" s="120" t="str">
        <f t="shared" ref="AC66:AC85" si="18">IF($D66="","",AD11)</f>
        <v/>
      </c>
      <c r="AD66" s="118" t="str">
        <f>IF(AC66="","",((T66*V66*X66)*AC66)/1000)</f>
        <v/>
      </c>
      <c r="AE66" s="198" t="str">
        <f>IF(AD66="","",IF(AH66&lt;V66,"Not Acceptable","Acceptable"))</f>
        <v/>
      </c>
      <c r="AF66" s="116" t="str">
        <f t="shared" ref="AF66:AF85" si="19">IF(D66="","",I66)</f>
        <v/>
      </c>
      <c r="AG66" s="117" t="str">
        <f>IF(D66="","",VLOOKUP(F66,'9. All Habitats + Multipliers'!$C$4:$K$102,5,FALSE))</f>
        <v/>
      </c>
      <c r="AH66" s="118" t="str">
        <f>IF(AG66="","",VLOOKUP(AG66,'11. Lists'!$B$47:$D$49,2,FALSE))</f>
        <v/>
      </c>
      <c r="AI66" s="117" t="str">
        <f t="shared" ref="AI66:AI85" si="20">IF(D66="","",J66)</f>
        <v/>
      </c>
      <c r="AJ66" s="96" t="str">
        <f>IF(AI66="","",VLOOKUP(AI66,'11. Lists'!$F$47:$G$51,2,FALSE))</f>
        <v/>
      </c>
      <c r="AK66" s="392"/>
      <c r="AL66" s="392"/>
      <c r="AM66" s="392"/>
      <c r="AN66" s="96" t="str">
        <f t="shared" ref="AN66:AN85" si="21">IF(H66="","",H66)</f>
        <v/>
      </c>
      <c r="AO66" s="119" t="str">
        <f>IF(AN66="","",VLOOKUP(AN66,'11. Lists'!$F$36:$H$38,2,FALSE))</f>
        <v/>
      </c>
      <c r="AP66" s="118" t="str">
        <f>IF(AN66="","",VLOOKUP(AN66,'11. Lists'!$F$36:$H$38,3,FALSE))</f>
        <v/>
      </c>
      <c r="AQ66" s="117" t="str">
        <f>IF(D66="","",VLOOKUP(F66,'10. Condition and Temporal'!$B$6:$L$103,11,FALSE))</f>
        <v/>
      </c>
      <c r="AR66" s="121" t="str">
        <f>IF(AQ66="","",VLOOKUP(AQ66,'11. Lists'!$I$47:$K$80,3,FALSE))</f>
        <v/>
      </c>
      <c r="AS66" s="137" t="str">
        <f>IF(D66="","",VLOOKUP(F66,'10. Condition and Temporal'!$B$6:$M$106,12,FALSE))</f>
        <v/>
      </c>
      <c r="AT66" s="121" t="str">
        <f>IF(AS66="","",VLOOKUP(AS66,'11. Lists'!$I$47:$K$80,3,FALSE))</f>
        <v/>
      </c>
      <c r="AU66" s="120" t="str">
        <f>IF(D66="","",VLOOKUP(F66,'9. All Habitats + Multipliers'!$C$4:$K$102,8,FALSE))</f>
        <v/>
      </c>
      <c r="AV66" s="118" t="str">
        <f>IF(AU66="","",VLOOKUP(AU66,'11. Lists'!$J$35:$K$38,2,FALSE))</f>
        <v/>
      </c>
      <c r="AW66" s="117" t="str">
        <f>IF(D66="","",VLOOKUP(D66,'10. Condition and Temporal'!$B$6:$M$103,4,FALSE))</f>
        <v/>
      </c>
      <c r="AX66" s="118" t="str">
        <f t="shared" ref="AX66:AX85" si="22">IF(F66="","",IF(D66=F66,"Condition","Distinctiveness"))</f>
        <v/>
      </c>
      <c r="AZ66" s="227"/>
      <c r="BA66" s="94">
        <v>1</v>
      </c>
      <c r="BB66" s="96" t="str">
        <f t="shared" ref="BB66:BB85" si="23">TRIM(MID(SUBSTITUTE($AW$66,$BA$62,REPT(" ",LEN($AW$66))),($BA66-1)*LEN($AW$66)+1,LEN($AW$66)))</f>
        <v/>
      </c>
      <c r="BC66" s="96" t="str">
        <f t="shared" ref="BC66:BC85" si="24">TRIM(MID(SUBSTITUTE($AW$67,$BA$62,REPT(" ",LEN($AW$67))),($BA66-1)*LEN($AW$67)+1,LEN($AW$67)))</f>
        <v/>
      </c>
      <c r="BD66" s="96" t="str">
        <f t="shared" ref="BD66:BD85" si="25">TRIM(MID(SUBSTITUTE($AW$68,$BA$62,REPT(" ",LEN($AW$68))),($BA66-1)*LEN($AW$68)+1,LEN($AW$68)))</f>
        <v/>
      </c>
      <c r="BE66" s="96" t="str">
        <f t="shared" ref="BE66:BE85" si="26">TRIM(MID(SUBSTITUTE($AW$69,$BA$62,REPT(" ",LEN($AW$69))),($BA66-1)*LEN($AW$69)+1,LEN($AW$69)))</f>
        <v/>
      </c>
      <c r="BF66" s="96" t="str">
        <f t="shared" ref="BF66:BF85" si="27">TRIM(MID(SUBSTITUTE($AW$70,$BA$62,REPT(" ",LEN($AW$70))),($BA66-1)*LEN($AW$70)+1,LEN($AW$70)))</f>
        <v/>
      </c>
      <c r="BG66" s="96" t="str">
        <f t="shared" ref="BG66:BG85" si="28">TRIM(MID(SUBSTITUTE($AW$71,$BA$62,REPT(" ",LEN($AW$71))),($BA66-1)*LEN($AW$71)+1,LEN($AW$71)))</f>
        <v/>
      </c>
      <c r="BH66" s="96" t="str">
        <f t="shared" ref="BH66:BH85" si="29">TRIM(MID(SUBSTITUTE($AW$72,$BA$62,REPT(" ",LEN($AW$72))),($BA66-1)*LEN($AW$72)+1,LEN($AW$72)))</f>
        <v/>
      </c>
      <c r="BI66" s="96" t="str">
        <f t="shared" ref="BI66:BI85" si="30">TRIM(MID(SUBSTITUTE($AW$73,$BA$62,REPT(" ",LEN($AW$73))),($BA66-1)*LEN($AW$73)+1,LEN($AW$73)))</f>
        <v/>
      </c>
      <c r="BJ66" s="96" t="str">
        <f t="shared" ref="BJ66:BJ85" si="31">TRIM(MID(SUBSTITUTE($AW$74,$BA$62,REPT(" ",LEN($AW$74))),($BA66-1)*LEN($AW$74)+1,LEN($AW$74)))</f>
        <v/>
      </c>
      <c r="BK66" s="96" t="str">
        <f t="shared" ref="BK66:BK85" si="32">TRIM(MID(SUBSTITUTE($AW$75,$BA$62,REPT(" ",LEN($AW$75))),($BA66-1)*LEN($AW$75)+1,LEN($AW$75)))</f>
        <v/>
      </c>
      <c r="BL66" s="96" t="str">
        <f t="shared" ref="BL66:BL85" si="33">TRIM(MID(SUBSTITUTE($AW$76,$BA$62,REPT(" ",LEN($AW$76))),($BA66-1)*LEN($AW$76)+1,LEN($AW$76)))</f>
        <v/>
      </c>
      <c r="BM66" s="96" t="str">
        <f t="shared" ref="BM66:BM85" si="34">TRIM(MID(SUBSTITUTE($AW$77,$BA$62,REPT(" ",LEN($AW$77))),($BA66-1)*LEN($AW$77)+1,LEN($AW$77)))</f>
        <v/>
      </c>
      <c r="BN66" s="96" t="str">
        <f t="shared" ref="BN66:BN85" si="35">TRIM(MID(SUBSTITUTE($AW$78,$BA$62,REPT(" ",LEN($AW$78))),($BA66-1)*LEN($AW$78)+1,LEN($AW$78)))</f>
        <v/>
      </c>
      <c r="BO66" s="96" t="str">
        <f t="shared" ref="BO66:BO85" si="36">TRIM(MID(SUBSTITUTE($AW$79,$BA$62,REPT(" ",LEN($AW$79))),($BA66-1)*LEN($AW$79)+1,LEN($AW$79)))</f>
        <v/>
      </c>
      <c r="BP66" s="96" t="str">
        <f t="shared" ref="BP66:BP85" si="37">TRIM(MID(SUBSTITUTE($AW$80,$BA$62,REPT(" ",LEN($AW$80))),($BA66-1)*LEN($AW$80)+1,LEN($AW$80)))</f>
        <v/>
      </c>
      <c r="BQ66" s="96" t="str">
        <f t="shared" ref="BQ66:BQ85" si="38">TRIM(MID(SUBSTITUTE($AW$81,$BA$62,REPT(" ",LEN($AW$81))),($BA66-1)*LEN($AW$81)+1,LEN($AW$81)))</f>
        <v/>
      </c>
      <c r="BR66" s="96" t="str">
        <f t="shared" ref="BR66:BR85" si="39">TRIM(MID(SUBSTITUTE($AW$82,$BA$62,REPT(" ",LEN($AW$82))),($BA66-1)*LEN($AW$82)+1,LEN($AW$82)))</f>
        <v/>
      </c>
      <c r="BS66" s="96" t="str">
        <f t="shared" ref="BS66:BS85" si="40">TRIM(MID(SUBSTITUTE($AW$83,$BA$62,REPT(" ",LEN($AW$83))),($BA66-1)*LEN($AW$83)+1,LEN($AW$83)))</f>
        <v/>
      </c>
      <c r="BT66" s="96" t="str">
        <f t="shared" ref="BT66:BT85" si="41">TRIM(MID(SUBSTITUTE($AW$84,$BA$62,REPT(" ",LEN($AW$84))),($BA66-1)*LEN($AW$84)+1,LEN($AW$84)))</f>
        <v/>
      </c>
      <c r="BU66" s="95" t="str">
        <f t="shared" ref="BU66:BU85" si="42">TRIM(MID(SUBSTITUTE($AW$85,$BA$62,REPT(" ",LEN($AW$85))),($BA66-1)*LEN($AW$85)+1,LEN($AW$85)))</f>
        <v/>
      </c>
      <c r="BV66" s="205" t="str">
        <f>IF(BX66=0,"",CONCATENATE(BW66,"66:",BW66,BX66+65))</f>
        <v/>
      </c>
      <c r="BW66" s="96" t="s">
        <v>135</v>
      </c>
      <c r="BX66" s="96">
        <f>BB64</f>
        <v>0</v>
      </c>
    </row>
    <row r="67" spans="1:76" s="26" customFormat="1" ht="15.75" x14ac:dyDescent="0.25">
      <c r="B67" s="298">
        <v>2</v>
      </c>
      <c r="C67" s="122" t="str">
        <f t="shared" si="12"/>
        <v/>
      </c>
      <c r="D67" s="229" t="str">
        <f t="shared" ref="D67:D85" si="43">IF(OR(K12="", K12=0),"",D12)</f>
        <v/>
      </c>
      <c r="E67" s="176" t="str">
        <f t="shared" si="13"/>
        <v/>
      </c>
      <c r="F67" s="632"/>
      <c r="G67" s="633"/>
      <c r="H67" s="172" t="str">
        <f t="shared" si="14"/>
        <v/>
      </c>
      <c r="I67" s="363" t="str">
        <f t="shared" ref="I67:I85" si="44">IF(OR(K12="",K12=0),"",K12)</f>
        <v/>
      </c>
      <c r="J67" s="857" t="str">
        <f>IF(F67="","",VLOOKUP(F67,'10. Condition and Temporal'!$B$6:$F$103,5,FALSE))</f>
        <v/>
      </c>
      <c r="K67" s="858"/>
      <c r="L67" s="498" t="str">
        <f t="shared" ref="L67:L85" si="45">IFERROR(IF(D67="","",IF(AX67="Distinctiveness",(((((I67*AH67*AJ67)-(I67*V67*X67))*(AV67*AT67))+(I67*V67*X67))*AP67)/1000,((((I67*AH67*AJ67)-(I67*V67*X67))*(AV67*AR67))+(I67*V67*X67))*AP67/1000)),"This intervention is not permitted within the SSM ▲")</f>
        <v/>
      </c>
      <c r="M67" s="856" t="str">
        <f t="shared" ref="M67:M85" si="46">IFERROR(IF(F67="","",L67-AD67), "Error ▲")</f>
        <v/>
      </c>
      <c r="N67" s="856"/>
      <c r="O67" s="75"/>
      <c r="P67" s="12"/>
      <c r="R67" s="664"/>
      <c r="T67" s="196" t="str">
        <f t="shared" si="15"/>
        <v/>
      </c>
      <c r="U67" s="117" t="str">
        <f t="shared" ref="U67:U85" si="47">IF($D67="","",T12)</f>
        <v/>
      </c>
      <c r="V67" s="118" t="str">
        <f t="shared" si="16"/>
        <v/>
      </c>
      <c r="W67" s="116" t="str">
        <f t="shared" si="16"/>
        <v/>
      </c>
      <c r="X67" s="94" t="str">
        <f t="shared" si="16"/>
        <v/>
      </c>
      <c r="Y67" s="392"/>
      <c r="Z67" s="392"/>
      <c r="AA67" s="392"/>
      <c r="AB67" s="95" t="str">
        <f t="shared" si="17"/>
        <v/>
      </c>
      <c r="AC67" s="120" t="str">
        <f t="shared" si="18"/>
        <v/>
      </c>
      <c r="AD67" s="118" t="str">
        <f t="shared" ref="AD67:AD85" si="48">IF(AC67="","",((T67*V67*X67)*AC67)/1000)</f>
        <v/>
      </c>
      <c r="AE67" s="198" t="str">
        <f t="shared" ref="AE67:AE85" si="49">IF(AD67="","",IF(AH67&lt;V67,"Not Acceptable","Acceptable"))</f>
        <v/>
      </c>
      <c r="AF67" s="116" t="str">
        <f t="shared" si="19"/>
        <v/>
      </c>
      <c r="AG67" s="117" t="str">
        <f>IF(D67="","",VLOOKUP(F67,'9. All Habitats + Multipliers'!$C$4:$K$102,5,FALSE))</f>
        <v/>
      </c>
      <c r="AH67" s="118" t="str">
        <f>IF(AG67="","",VLOOKUP(AG67,'11. Lists'!$B$47:$D$49,2,FALSE))</f>
        <v/>
      </c>
      <c r="AI67" s="117" t="str">
        <f t="shared" si="20"/>
        <v/>
      </c>
      <c r="AJ67" s="96" t="str">
        <f>IF(AI67="","",VLOOKUP(AI67,'11. Lists'!$F$47:$G$51,2,FALSE))</f>
        <v/>
      </c>
      <c r="AK67" s="392"/>
      <c r="AL67" s="392"/>
      <c r="AM67" s="392"/>
      <c r="AN67" s="96" t="str">
        <f t="shared" si="21"/>
        <v/>
      </c>
      <c r="AO67" s="119" t="str">
        <f>IF(AN67="","",VLOOKUP(AN67,'11. Lists'!$F$36:$H$38,2,FALSE))</f>
        <v/>
      </c>
      <c r="AP67" s="118" t="str">
        <f>IF(AN67="","",VLOOKUP(AN67,'11. Lists'!$F$36:$H$38,3,FALSE))</f>
        <v/>
      </c>
      <c r="AQ67" s="117" t="str">
        <f>IF(D67="","",VLOOKUP(F67,'10. Condition and Temporal'!$B$6:$L$103,11,FALSE))</f>
        <v/>
      </c>
      <c r="AR67" s="121" t="str">
        <f>IF(AQ67="","",VLOOKUP(AQ67,'11. Lists'!$I$47:$K$80,3,FALSE))</f>
        <v/>
      </c>
      <c r="AS67" s="137" t="str">
        <f>IF(D67="","",VLOOKUP(F67,'10. Condition and Temporal'!$B$6:$M$106,12,FALSE))</f>
        <v/>
      </c>
      <c r="AT67" s="121" t="str">
        <f>IF(AS67="","",VLOOKUP(AS67,'11. Lists'!$I$47:$K$80,3,FALSE))</f>
        <v/>
      </c>
      <c r="AU67" s="120" t="str">
        <f>IF(D67="","",VLOOKUP(F67,'9. All Habitats + Multipliers'!$C$4:$K$102,8,FALSE))</f>
        <v/>
      </c>
      <c r="AV67" s="118" t="str">
        <f>IF(AU67="","",VLOOKUP(AU67,'11. Lists'!$J$35:$K$38,2,FALSE))</f>
        <v/>
      </c>
      <c r="AW67" s="117" t="str">
        <f>IF(D67="","",VLOOKUP(D67,'10. Condition and Temporal'!$B$6:$M$103,4,FALSE))</f>
        <v/>
      </c>
      <c r="AX67" s="118" t="str">
        <f t="shared" si="22"/>
        <v/>
      </c>
      <c r="AZ67" s="227"/>
      <c r="BA67" s="94">
        <v>2</v>
      </c>
      <c r="BB67" s="96" t="str">
        <f t="shared" si="23"/>
        <v/>
      </c>
      <c r="BC67" s="96" t="str">
        <f t="shared" si="24"/>
        <v/>
      </c>
      <c r="BD67" s="96" t="str">
        <f t="shared" si="25"/>
        <v/>
      </c>
      <c r="BE67" s="96" t="str">
        <f t="shared" si="26"/>
        <v/>
      </c>
      <c r="BF67" s="96" t="str">
        <f t="shared" si="27"/>
        <v/>
      </c>
      <c r="BG67" s="96" t="str">
        <f t="shared" si="28"/>
        <v/>
      </c>
      <c r="BH67" s="96" t="str">
        <f t="shared" si="29"/>
        <v/>
      </c>
      <c r="BI67" s="96" t="str">
        <f t="shared" si="30"/>
        <v/>
      </c>
      <c r="BJ67" s="96" t="str">
        <f t="shared" si="31"/>
        <v/>
      </c>
      <c r="BK67" s="96" t="str">
        <f t="shared" si="32"/>
        <v/>
      </c>
      <c r="BL67" s="96" t="str">
        <f t="shared" si="33"/>
        <v/>
      </c>
      <c r="BM67" s="96" t="str">
        <f t="shared" si="34"/>
        <v/>
      </c>
      <c r="BN67" s="96" t="str">
        <f t="shared" si="35"/>
        <v/>
      </c>
      <c r="BO67" s="96" t="str">
        <f t="shared" si="36"/>
        <v/>
      </c>
      <c r="BP67" s="96" t="str">
        <f t="shared" si="37"/>
        <v/>
      </c>
      <c r="BQ67" s="96" t="str">
        <f t="shared" si="38"/>
        <v/>
      </c>
      <c r="BR67" s="96" t="str">
        <f t="shared" si="39"/>
        <v/>
      </c>
      <c r="BS67" s="96" t="str">
        <f t="shared" si="40"/>
        <v/>
      </c>
      <c r="BT67" s="96" t="str">
        <f t="shared" si="41"/>
        <v/>
      </c>
      <c r="BU67" s="95" t="str">
        <f t="shared" si="42"/>
        <v/>
      </c>
      <c r="BV67" s="205" t="str">
        <f t="shared" ref="BV67:BV85" si="50">IF(BX67=0,"",CONCATENATE(BW67,"66:",BW67,BX67+65))</f>
        <v/>
      </c>
      <c r="BW67" s="96" t="s">
        <v>136</v>
      </c>
      <c r="BX67" s="96">
        <f>BC64</f>
        <v>0</v>
      </c>
    </row>
    <row r="68" spans="1:76" s="26" customFormat="1" ht="15.75" x14ac:dyDescent="0.25">
      <c r="B68" s="298">
        <v>3</v>
      </c>
      <c r="C68" s="122" t="str">
        <f t="shared" si="12"/>
        <v/>
      </c>
      <c r="D68" s="229" t="str">
        <f t="shared" si="43"/>
        <v/>
      </c>
      <c r="E68" s="176" t="str">
        <f t="shared" si="13"/>
        <v/>
      </c>
      <c r="F68" s="632"/>
      <c r="G68" s="633"/>
      <c r="H68" s="172" t="str">
        <f t="shared" si="14"/>
        <v/>
      </c>
      <c r="I68" s="363" t="str">
        <f t="shared" si="44"/>
        <v/>
      </c>
      <c r="J68" s="857" t="str">
        <f>IF(F68="","",VLOOKUP(F68,'10. Condition and Temporal'!$B$6:$F$103,5,FALSE))</f>
        <v/>
      </c>
      <c r="K68" s="858"/>
      <c r="L68" s="498" t="str">
        <f t="shared" si="45"/>
        <v/>
      </c>
      <c r="M68" s="856" t="str">
        <f t="shared" si="46"/>
        <v/>
      </c>
      <c r="N68" s="856"/>
      <c r="O68" s="75"/>
      <c r="P68" s="12"/>
      <c r="R68" s="664"/>
      <c r="T68" s="196" t="str">
        <f t="shared" si="15"/>
        <v/>
      </c>
      <c r="U68" s="117" t="str">
        <f t="shared" si="47"/>
        <v/>
      </c>
      <c r="V68" s="118" t="str">
        <f t="shared" si="16"/>
        <v/>
      </c>
      <c r="W68" s="116" t="str">
        <f t="shared" si="16"/>
        <v/>
      </c>
      <c r="X68" s="94" t="str">
        <f t="shared" si="16"/>
        <v/>
      </c>
      <c r="Y68" s="392"/>
      <c r="Z68" s="392"/>
      <c r="AA68" s="392"/>
      <c r="AB68" s="95" t="str">
        <f t="shared" si="17"/>
        <v/>
      </c>
      <c r="AC68" s="120" t="str">
        <f t="shared" si="18"/>
        <v/>
      </c>
      <c r="AD68" s="118" t="str">
        <f t="shared" si="48"/>
        <v/>
      </c>
      <c r="AE68" s="198" t="str">
        <f t="shared" si="49"/>
        <v/>
      </c>
      <c r="AF68" s="116" t="str">
        <f t="shared" si="19"/>
        <v/>
      </c>
      <c r="AG68" s="117" t="str">
        <f>IF(D68="","",VLOOKUP(F68,'9. All Habitats + Multipliers'!$C$4:$K$102,5,FALSE))</f>
        <v/>
      </c>
      <c r="AH68" s="118" t="str">
        <f>IF(AG68="","",VLOOKUP(AG68,'11. Lists'!$B$47:$D$49,2,FALSE))</f>
        <v/>
      </c>
      <c r="AI68" s="117" t="str">
        <f t="shared" si="20"/>
        <v/>
      </c>
      <c r="AJ68" s="96" t="str">
        <f>IF(AI68="","",VLOOKUP(AI68,'11. Lists'!$F$47:$G$51,2,FALSE))</f>
        <v/>
      </c>
      <c r="AK68" s="392"/>
      <c r="AL68" s="392"/>
      <c r="AM68" s="392"/>
      <c r="AN68" s="96" t="str">
        <f t="shared" si="21"/>
        <v/>
      </c>
      <c r="AO68" s="119" t="str">
        <f>IF(AN68="","",VLOOKUP(AN68,'11. Lists'!$F$36:$H$38,2,FALSE))</f>
        <v/>
      </c>
      <c r="AP68" s="118" t="str">
        <f>IF(AN68="","",VLOOKUP(AN68,'11. Lists'!$F$36:$H$38,3,FALSE))</f>
        <v/>
      </c>
      <c r="AQ68" s="117" t="str">
        <f>IF(D68="","",VLOOKUP(F68,'10. Condition and Temporal'!$B$6:$L$103,11,FALSE))</f>
        <v/>
      </c>
      <c r="AR68" s="121" t="str">
        <f>IF(AQ68="","",VLOOKUP(AQ68,'11. Lists'!$I$47:$K$80,3,FALSE))</f>
        <v/>
      </c>
      <c r="AS68" s="137" t="str">
        <f>IF(D68="","",VLOOKUP(F68,'10. Condition and Temporal'!$B$6:$M$106,12,FALSE))</f>
        <v/>
      </c>
      <c r="AT68" s="121" t="str">
        <f>IF(AS68="","",VLOOKUP(AS68,'11. Lists'!$I$47:$K$80,3,FALSE))</f>
        <v/>
      </c>
      <c r="AU68" s="120" t="str">
        <f>IF(D68="","",VLOOKUP(F68,'9. All Habitats + Multipliers'!$C$4:$K$102,8,FALSE))</f>
        <v/>
      </c>
      <c r="AV68" s="118" t="str">
        <f>IF(AU68="","",VLOOKUP(AU68,'11. Lists'!$J$35:$K$38,2,FALSE))</f>
        <v/>
      </c>
      <c r="AW68" s="117" t="str">
        <f>IF(D68="","",VLOOKUP(D68,'10. Condition and Temporal'!$B$6:$M$103,4,FALSE))</f>
        <v/>
      </c>
      <c r="AX68" s="118" t="str">
        <f t="shared" si="22"/>
        <v/>
      </c>
      <c r="AZ68" s="227"/>
      <c r="BA68" s="94">
        <v>3</v>
      </c>
      <c r="BB68" s="96" t="str">
        <f t="shared" si="23"/>
        <v/>
      </c>
      <c r="BC68" s="96" t="str">
        <f t="shared" si="24"/>
        <v/>
      </c>
      <c r="BD68" s="96" t="str">
        <f t="shared" si="25"/>
        <v/>
      </c>
      <c r="BE68" s="96" t="str">
        <f t="shared" si="26"/>
        <v/>
      </c>
      <c r="BF68" s="96" t="str">
        <f t="shared" si="27"/>
        <v/>
      </c>
      <c r="BG68" s="96" t="str">
        <f t="shared" si="28"/>
        <v/>
      </c>
      <c r="BH68" s="96" t="str">
        <f t="shared" si="29"/>
        <v/>
      </c>
      <c r="BI68" s="96" t="str">
        <f t="shared" si="30"/>
        <v/>
      </c>
      <c r="BJ68" s="96" t="str">
        <f t="shared" si="31"/>
        <v/>
      </c>
      <c r="BK68" s="96" t="str">
        <f t="shared" si="32"/>
        <v/>
      </c>
      <c r="BL68" s="96" t="str">
        <f t="shared" si="33"/>
        <v/>
      </c>
      <c r="BM68" s="96" t="str">
        <f t="shared" si="34"/>
        <v/>
      </c>
      <c r="BN68" s="96" t="str">
        <f t="shared" si="35"/>
        <v/>
      </c>
      <c r="BO68" s="96" t="str">
        <f t="shared" si="36"/>
        <v/>
      </c>
      <c r="BP68" s="96" t="str">
        <f t="shared" si="37"/>
        <v/>
      </c>
      <c r="BQ68" s="96" t="str">
        <f t="shared" si="38"/>
        <v/>
      </c>
      <c r="BR68" s="96" t="str">
        <f t="shared" si="39"/>
        <v/>
      </c>
      <c r="BS68" s="96" t="str">
        <f t="shared" si="40"/>
        <v/>
      </c>
      <c r="BT68" s="96" t="str">
        <f t="shared" si="41"/>
        <v/>
      </c>
      <c r="BU68" s="95" t="str">
        <f t="shared" si="42"/>
        <v/>
      </c>
      <c r="BV68" s="205" t="str">
        <f t="shared" si="50"/>
        <v/>
      </c>
      <c r="BW68" s="96" t="s">
        <v>137</v>
      </c>
      <c r="BX68" s="96">
        <f>BD64</f>
        <v>0</v>
      </c>
    </row>
    <row r="69" spans="1:76" s="26" customFormat="1" ht="15.75" x14ac:dyDescent="0.25">
      <c r="B69" s="298">
        <v>4</v>
      </c>
      <c r="C69" s="122" t="str">
        <f t="shared" si="12"/>
        <v/>
      </c>
      <c r="D69" s="229" t="str">
        <f t="shared" si="43"/>
        <v/>
      </c>
      <c r="E69" s="176" t="str">
        <f t="shared" si="13"/>
        <v/>
      </c>
      <c r="F69" s="632"/>
      <c r="G69" s="633"/>
      <c r="H69" s="172" t="str">
        <f t="shared" si="14"/>
        <v/>
      </c>
      <c r="I69" s="363" t="str">
        <f t="shared" si="44"/>
        <v/>
      </c>
      <c r="J69" s="857" t="str">
        <f>IF(F69="","",VLOOKUP(F69,'10. Condition and Temporal'!$B$6:$F$103,5,FALSE))</f>
        <v/>
      </c>
      <c r="K69" s="858"/>
      <c r="L69" s="498" t="str">
        <f t="shared" si="45"/>
        <v/>
      </c>
      <c r="M69" s="856" t="str">
        <f t="shared" si="46"/>
        <v/>
      </c>
      <c r="N69" s="856"/>
      <c r="O69" s="75"/>
      <c r="P69" s="12"/>
      <c r="R69" s="664"/>
      <c r="T69" s="196" t="str">
        <f t="shared" si="15"/>
        <v/>
      </c>
      <c r="U69" s="117" t="str">
        <f t="shared" si="47"/>
        <v/>
      </c>
      <c r="V69" s="118" t="str">
        <f t="shared" si="16"/>
        <v/>
      </c>
      <c r="W69" s="116" t="str">
        <f t="shared" si="16"/>
        <v/>
      </c>
      <c r="X69" s="94" t="str">
        <f t="shared" si="16"/>
        <v/>
      </c>
      <c r="Y69" s="392"/>
      <c r="Z69" s="392"/>
      <c r="AA69" s="392"/>
      <c r="AB69" s="95" t="str">
        <f t="shared" si="17"/>
        <v/>
      </c>
      <c r="AC69" s="120" t="str">
        <f t="shared" si="18"/>
        <v/>
      </c>
      <c r="AD69" s="118" t="str">
        <f t="shared" si="48"/>
        <v/>
      </c>
      <c r="AE69" s="198" t="str">
        <f t="shared" si="49"/>
        <v/>
      </c>
      <c r="AF69" s="116" t="str">
        <f t="shared" si="19"/>
        <v/>
      </c>
      <c r="AG69" s="117" t="str">
        <f>IF(D69="","",VLOOKUP(F69,'9. All Habitats + Multipliers'!$C$4:$K$102,5,FALSE))</f>
        <v/>
      </c>
      <c r="AH69" s="118" t="str">
        <f>IF(AG69="","",VLOOKUP(AG69,'11. Lists'!$B$47:$D$49,2,FALSE))</f>
        <v/>
      </c>
      <c r="AI69" s="117" t="str">
        <f t="shared" si="20"/>
        <v/>
      </c>
      <c r="AJ69" s="96" t="str">
        <f>IF(AI69="","",VLOOKUP(AI69,'11. Lists'!$F$47:$G$51,2,FALSE))</f>
        <v/>
      </c>
      <c r="AK69" s="392"/>
      <c r="AL69" s="392"/>
      <c r="AM69" s="392"/>
      <c r="AN69" s="96" t="str">
        <f t="shared" si="21"/>
        <v/>
      </c>
      <c r="AO69" s="119" t="str">
        <f>IF(AN69="","",VLOOKUP(AN69,'11. Lists'!$F$36:$H$38,2,FALSE))</f>
        <v/>
      </c>
      <c r="AP69" s="118" t="str">
        <f>IF(AN69="","",VLOOKUP(AN69,'11. Lists'!$F$36:$H$38,3,FALSE))</f>
        <v/>
      </c>
      <c r="AQ69" s="117" t="str">
        <f>IF(D69="","",VLOOKUP(F69,'10. Condition and Temporal'!$B$6:$L$103,11,FALSE))</f>
        <v/>
      </c>
      <c r="AR69" s="121" t="str">
        <f>IF(AQ69="","",VLOOKUP(AQ69,'11. Lists'!$I$47:$K$80,3,FALSE))</f>
        <v/>
      </c>
      <c r="AS69" s="137" t="str">
        <f>IF(D69="","",VLOOKUP(F69,'10. Condition and Temporal'!$B$6:$M$106,12,FALSE))</f>
        <v/>
      </c>
      <c r="AT69" s="121" t="str">
        <f>IF(AS69="","",VLOOKUP(AS69,'11. Lists'!$I$47:$K$80,3,FALSE))</f>
        <v/>
      </c>
      <c r="AU69" s="120" t="str">
        <f>IF(D69="","",VLOOKUP(F69,'9. All Habitats + Multipliers'!$C$4:$K$102,8,FALSE))</f>
        <v/>
      </c>
      <c r="AV69" s="118" t="str">
        <f>IF(AU69="","",VLOOKUP(AU69,'11. Lists'!$J$35:$K$38,2,FALSE))</f>
        <v/>
      </c>
      <c r="AW69" s="117" t="str">
        <f>IF(D69="","",VLOOKUP(D69,'10. Condition and Temporal'!$B$6:$M$103,4,FALSE))</f>
        <v/>
      </c>
      <c r="AX69" s="118" t="str">
        <f t="shared" si="22"/>
        <v/>
      </c>
      <c r="AZ69" s="227"/>
      <c r="BA69" s="94">
        <v>4</v>
      </c>
      <c r="BB69" s="96" t="str">
        <f t="shared" si="23"/>
        <v/>
      </c>
      <c r="BC69" s="96" t="str">
        <f t="shared" si="24"/>
        <v/>
      </c>
      <c r="BD69" s="96" t="str">
        <f t="shared" si="25"/>
        <v/>
      </c>
      <c r="BE69" s="96" t="str">
        <f t="shared" si="26"/>
        <v/>
      </c>
      <c r="BF69" s="96" t="str">
        <f t="shared" si="27"/>
        <v/>
      </c>
      <c r="BG69" s="96" t="str">
        <f t="shared" si="28"/>
        <v/>
      </c>
      <c r="BH69" s="96" t="str">
        <f t="shared" si="29"/>
        <v/>
      </c>
      <c r="BI69" s="96" t="str">
        <f t="shared" si="30"/>
        <v/>
      </c>
      <c r="BJ69" s="96" t="str">
        <f t="shared" si="31"/>
        <v/>
      </c>
      <c r="BK69" s="96" t="str">
        <f t="shared" si="32"/>
        <v/>
      </c>
      <c r="BL69" s="96" t="str">
        <f t="shared" si="33"/>
        <v/>
      </c>
      <c r="BM69" s="96" t="str">
        <f t="shared" si="34"/>
        <v/>
      </c>
      <c r="BN69" s="96" t="str">
        <f t="shared" si="35"/>
        <v/>
      </c>
      <c r="BO69" s="96" t="str">
        <f t="shared" si="36"/>
        <v/>
      </c>
      <c r="BP69" s="96" t="str">
        <f t="shared" si="37"/>
        <v/>
      </c>
      <c r="BQ69" s="96" t="str">
        <f t="shared" si="38"/>
        <v/>
      </c>
      <c r="BR69" s="96" t="str">
        <f t="shared" si="39"/>
        <v/>
      </c>
      <c r="BS69" s="96" t="str">
        <f t="shared" si="40"/>
        <v/>
      </c>
      <c r="BT69" s="96" t="str">
        <f t="shared" si="41"/>
        <v/>
      </c>
      <c r="BU69" s="95" t="str">
        <f t="shared" si="42"/>
        <v/>
      </c>
      <c r="BV69" s="205" t="str">
        <f t="shared" si="50"/>
        <v/>
      </c>
      <c r="BW69" s="96" t="s">
        <v>138</v>
      </c>
      <c r="BX69" s="96">
        <f>BE64</f>
        <v>0</v>
      </c>
    </row>
    <row r="70" spans="1:76" s="26" customFormat="1" ht="15.75" x14ac:dyDescent="0.25">
      <c r="B70" s="298">
        <v>5</v>
      </c>
      <c r="C70" s="122" t="str">
        <f t="shared" si="12"/>
        <v/>
      </c>
      <c r="D70" s="229" t="str">
        <f t="shared" si="43"/>
        <v/>
      </c>
      <c r="E70" s="176" t="str">
        <f t="shared" si="13"/>
        <v/>
      </c>
      <c r="F70" s="632"/>
      <c r="G70" s="633"/>
      <c r="H70" s="172" t="str">
        <f t="shared" si="14"/>
        <v/>
      </c>
      <c r="I70" s="363" t="str">
        <f t="shared" si="44"/>
        <v/>
      </c>
      <c r="J70" s="857" t="str">
        <f>IF(F70="","",VLOOKUP(F70,'10. Condition and Temporal'!$B$6:$F$103,5,FALSE))</f>
        <v/>
      </c>
      <c r="K70" s="858"/>
      <c r="L70" s="498" t="str">
        <f t="shared" si="45"/>
        <v/>
      </c>
      <c r="M70" s="856" t="str">
        <f t="shared" si="46"/>
        <v/>
      </c>
      <c r="N70" s="856"/>
      <c r="O70" s="75"/>
      <c r="P70" s="12"/>
      <c r="R70" s="664"/>
      <c r="T70" s="196" t="str">
        <f t="shared" si="15"/>
        <v/>
      </c>
      <c r="U70" s="117" t="str">
        <f t="shared" si="47"/>
        <v/>
      </c>
      <c r="V70" s="118" t="str">
        <f t="shared" si="16"/>
        <v/>
      </c>
      <c r="W70" s="116" t="str">
        <f t="shared" si="16"/>
        <v/>
      </c>
      <c r="X70" s="94" t="str">
        <f t="shared" si="16"/>
        <v/>
      </c>
      <c r="Y70" s="392"/>
      <c r="Z70" s="392"/>
      <c r="AA70" s="392"/>
      <c r="AB70" s="95" t="str">
        <f t="shared" si="17"/>
        <v/>
      </c>
      <c r="AC70" s="120" t="str">
        <f t="shared" si="18"/>
        <v/>
      </c>
      <c r="AD70" s="118" t="str">
        <f t="shared" si="48"/>
        <v/>
      </c>
      <c r="AE70" s="198" t="str">
        <f t="shared" si="49"/>
        <v/>
      </c>
      <c r="AF70" s="116" t="str">
        <f t="shared" si="19"/>
        <v/>
      </c>
      <c r="AG70" s="117" t="str">
        <f>IF(D70="","",VLOOKUP(F70,'9. All Habitats + Multipliers'!$C$4:$K$102,5,FALSE))</f>
        <v/>
      </c>
      <c r="AH70" s="118" t="str">
        <f>IF(AG70="","",VLOOKUP(AG70,'11. Lists'!$B$47:$D$49,2,FALSE))</f>
        <v/>
      </c>
      <c r="AI70" s="117" t="str">
        <f t="shared" si="20"/>
        <v/>
      </c>
      <c r="AJ70" s="96" t="str">
        <f>IF(AI70="","",VLOOKUP(AI70,'11. Lists'!$F$47:$G$51,2,FALSE))</f>
        <v/>
      </c>
      <c r="AK70" s="392"/>
      <c r="AL70" s="392"/>
      <c r="AM70" s="392"/>
      <c r="AN70" s="96" t="str">
        <f t="shared" si="21"/>
        <v/>
      </c>
      <c r="AO70" s="119" t="str">
        <f>IF(AN70="","",VLOOKUP(AN70,'11. Lists'!$F$36:$H$38,2,FALSE))</f>
        <v/>
      </c>
      <c r="AP70" s="118" t="str">
        <f>IF(AN70="","",VLOOKUP(AN70,'11. Lists'!$F$36:$H$38,3,FALSE))</f>
        <v/>
      </c>
      <c r="AQ70" s="117" t="str">
        <f>IF(D70="","",VLOOKUP(F70,'10. Condition and Temporal'!$B$6:$L$103,11,FALSE))</f>
        <v/>
      </c>
      <c r="AR70" s="121" t="str">
        <f>IF(AQ70="","",VLOOKUP(AQ70,'11. Lists'!$I$47:$K$80,3,FALSE))</f>
        <v/>
      </c>
      <c r="AS70" s="137" t="str">
        <f>IF(D70="","",VLOOKUP(F70,'10. Condition and Temporal'!$B$6:$M$106,12,FALSE))</f>
        <v/>
      </c>
      <c r="AT70" s="121" t="str">
        <f>IF(AS70="","",VLOOKUP(AS70,'11. Lists'!$I$47:$K$80,3,FALSE))</f>
        <v/>
      </c>
      <c r="AU70" s="120" t="str">
        <f>IF(D70="","",VLOOKUP(F70,'9. All Habitats + Multipliers'!$C$4:$K$102,8,FALSE))</f>
        <v/>
      </c>
      <c r="AV70" s="118" t="str">
        <f>IF(AU70="","",VLOOKUP(AU70,'11. Lists'!$J$35:$K$38,2,FALSE))</f>
        <v/>
      </c>
      <c r="AW70" s="117" t="str">
        <f>IF(D70="","",VLOOKUP(D70,'10. Condition and Temporal'!$B$6:$M$103,4,FALSE))</f>
        <v/>
      </c>
      <c r="AX70" s="118" t="str">
        <f t="shared" si="22"/>
        <v/>
      </c>
      <c r="AZ70" s="227"/>
      <c r="BA70" s="94">
        <v>5</v>
      </c>
      <c r="BB70" s="96" t="str">
        <f t="shared" si="23"/>
        <v/>
      </c>
      <c r="BC70" s="96" t="str">
        <f t="shared" si="24"/>
        <v/>
      </c>
      <c r="BD70" s="96" t="str">
        <f t="shared" si="25"/>
        <v/>
      </c>
      <c r="BE70" s="96" t="str">
        <f t="shared" si="26"/>
        <v/>
      </c>
      <c r="BF70" s="96" t="str">
        <f t="shared" si="27"/>
        <v/>
      </c>
      <c r="BG70" s="96" t="str">
        <f t="shared" si="28"/>
        <v/>
      </c>
      <c r="BH70" s="96" t="str">
        <f t="shared" si="29"/>
        <v/>
      </c>
      <c r="BI70" s="96" t="str">
        <f t="shared" si="30"/>
        <v/>
      </c>
      <c r="BJ70" s="96" t="str">
        <f t="shared" si="31"/>
        <v/>
      </c>
      <c r="BK70" s="96" t="str">
        <f t="shared" si="32"/>
        <v/>
      </c>
      <c r="BL70" s="96" t="str">
        <f t="shared" si="33"/>
        <v/>
      </c>
      <c r="BM70" s="96" t="str">
        <f t="shared" si="34"/>
        <v/>
      </c>
      <c r="BN70" s="96" t="str">
        <f t="shared" si="35"/>
        <v/>
      </c>
      <c r="BO70" s="96" t="str">
        <f t="shared" si="36"/>
        <v/>
      </c>
      <c r="BP70" s="96" t="str">
        <f t="shared" si="37"/>
        <v/>
      </c>
      <c r="BQ70" s="96" t="str">
        <f t="shared" si="38"/>
        <v/>
      </c>
      <c r="BR70" s="96" t="str">
        <f t="shared" si="39"/>
        <v/>
      </c>
      <c r="BS70" s="96" t="str">
        <f t="shared" si="40"/>
        <v/>
      </c>
      <c r="BT70" s="96" t="str">
        <f t="shared" si="41"/>
        <v/>
      </c>
      <c r="BU70" s="95" t="str">
        <f t="shared" si="42"/>
        <v/>
      </c>
      <c r="BV70" s="205" t="str">
        <f t="shared" si="50"/>
        <v/>
      </c>
      <c r="BW70" s="96" t="s">
        <v>139</v>
      </c>
      <c r="BX70" s="96">
        <f>BF64</f>
        <v>0</v>
      </c>
    </row>
    <row r="71" spans="1:76" s="26" customFormat="1" ht="15.75" x14ac:dyDescent="0.25">
      <c r="B71" s="298">
        <v>6</v>
      </c>
      <c r="C71" s="122" t="str">
        <f t="shared" si="12"/>
        <v/>
      </c>
      <c r="D71" s="229" t="str">
        <f t="shared" si="43"/>
        <v/>
      </c>
      <c r="E71" s="176" t="str">
        <f t="shared" si="13"/>
        <v/>
      </c>
      <c r="F71" s="632"/>
      <c r="G71" s="633"/>
      <c r="H71" s="172" t="str">
        <f t="shared" si="14"/>
        <v/>
      </c>
      <c r="I71" s="363" t="str">
        <f t="shared" si="44"/>
        <v/>
      </c>
      <c r="J71" s="857" t="str">
        <f>IF(F71="","",VLOOKUP(F71,'10. Condition and Temporal'!$B$6:$F$103,5,FALSE))</f>
        <v/>
      </c>
      <c r="K71" s="858"/>
      <c r="L71" s="498" t="str">
        <f t="shared" si="45"/>
        <v/>
      </c>
      <c r="M71" s="856" t="str">
        <f t="shared" si="46"/>
        <v/>
      </c>
      <c r="N71" s="856"/>
      <c r="O71" s="75"/>
      <c r="P71" s="12"/>
      <c r="R71" s="664"/>
      <c r="T71" s="196" t="str">
        <f t="shared" si="15"/>
        <v/>
      </c>
      <c r="U71" s="117" t="str">
        <f t="shared" si="47"/>
        <v/>
      </c>
      <c r="V71" s="118" t="str">
        <f t="shared" si="16"/>
        <v/>
      </c>
      <c r="W71" s="116" t="str">
        <f t="shared" si="16"/>
        <v/>
      </c>
      <c r="X71" s="94" t="str">
        <f t="shared" si="16"/>
        <v/>
      </c>
      <c r="Y71" s="392"/>
      <c r="Z71" s="392"/>
      <c r="AA71" s="392"/>
      <c r="AB71" s="95" t="str">
        <f t="shared" si="17"/>
        <v/>
      </c>
      <c r="AC71" s="120" t="str">
        <f t="shared" si="18"/>
        <v/>
      </c>
      <c r="AD71" s="118" t="str">
        <f t="shared" si="48"/>
        <v/>
      </c>
      <c r="AE71" s="198" t="str">
        <f t="shared" si="49"/>
        <v/>
      </c>
      <c r="AF71" s="116" t="str">
        <f t="shared" si="19"/>
        <v/>
      </c>
      <c r="AG71" s="117" t="str">
        <f>IF(D71="","",VLOOKUP(F71,'9. All Habitats + Multipliers'!$C$4:$K$102,5,FALSE))</f>
        <v/>
      </c>
      <c r="AH71" s="118" t="str">
        <f>IF(AG71="","",VLOOKUP(AG71,'11. Lists'!$B$47:$D$49,2,FALSE))</f>
        <v/>
      </c>
      <c r="AI71" s="117" t="str">
        <f t="shared" si="20"/>
        <v/>
      </c>
      <c r="AJ71" s="96" t="str">
        <f>IF(AI71="","",VLOOKUP(AI71,'11. Lists'!$F$47:$G$51,2,FALSE))</f>
        <v/>
      </c>
      <c r="AK71" s="392"/>
      <c r="AL71" s="392"/>
      <c r="AM71" s="392"/>
      <c r="AN71" s="96" t="str">
        <f t="shared" si="21"/>
        <v/>
      </c>
      <c r="AO71" s="119" t="str">
        <f>IF(AN71="","",VLOOKUP(AN71,'11. Lists'!$F$36:$H$38,2,FALSE))</f>
        <v/>
      </c>
      <c r="AP71" s="118" t="str">
        <f>IF(AN71="","",VLOOKUP(AN71,'11. Lists'!$F$36:$H$38,3,FALSE))</f>
        <v/>
      </c>
      <c r="AQ71" s="117" t="str">
        <f>IF(D71="","",VLOOKUP(F71,'10. Condition and Temporal'!$B$6:$L$103,11,FALSE))</f>
        <v/>
      </c>
      <c r="AR71" s="121" t="str">
        <f>IF(AQ71="","",VLOOKUP(AQ71,'11. Lists'!$I$47:$K$80,3,FALSE))</f>
        <v/>
      </c>
      <c r="AS71" s="137" t="str">
        <f>IF(D71="","",VLOOKUP(F71,'10. Condition and Temporal'!$B$6:$M$106,12,FALSE))</f>
        <v/>
      </c>
      <c r="AT71" s="121" t="str">
        <f>IF(AS71="","",VLOOKUP(AS71,'11. Lists'!$I$47:$K$80,3,FALSE))</f>
        <v/>
      </c>
      <c r="AU71" s="120" t="str">
        <f>IF(D71="","",VLOOKUP(F71,'9. All Habitats + Multipliers'!$C$4:$K$102,8,FALSE))</f>
        <v/>
      </c>
      <c r="AV71" s="118" t="str">
        <f>IF(AU71="","",VLOOKUP(AU71,'11. Lists'!$J$35:$K$38,2,FALSE))</f>
        <v/>
      </c>
      <c r="AW71" s="117" t="str">
        <f>IF(D71="","",VLOOKUP(D71,'10. Condition and Temporal'!$B$6:$M$103,4,FALSE))</f>
        <v/>
      </c>
      <c r="AX71" s="118" t="str">
        <f t="shared" si="22"/>
        <v/>
      </c>
      <c r="AZ71" s="227"/>
      <c r="BA71" s="94">
        <v>6</v>
      </c>
      <c r="BB71" s="96" t="str">
        <f t="shared" si="23"/>
        <v/>
      </c>
      <c r="BC71" s="96" t="str">
        <f t="shared" si="24"/>
        <v/>
      </c>
      <c r="BD71" s="96" t="str">
        <f t="shared" si="25"/>
        <v/>
      </c>
      <c r="BE71" s="96" t="str">
        <f t="shared" si="26"/>
        <v/>
      </c>
      <c r="BF71" s="96" t="str">
        <f t="shared" si="27"/>
        <v/>
      </c>
      <c r="BG71" s="96" t="str">
        <f t="shared" si="28"/>
        <v/>
      </c>
      <c r="BH71" s="96" t="str">
        <f t="shared" si="29"/>
        <v/>
      </c>
      <c r="BI71" s="96" t="str">
        <f t="shared" si="30"/>
        <v/>
      </c>
      <c r="BJ71" s="96" t="str">
        <f t="shared" si="31"/>
        <v/>
      </c>
      <c r="BK71" s="96" t="str">
        <f t="shared" si="32"/>
        <v/>
      </c>
      <c r="BL71" s="96" t="str">
        <f t="shared" si="33"/>
        <v/>
      </c>
      <c r="BM71" s="96" t="str">
        <f t="shared" si="34"/>
        <v/>
      </c>
      <c r="BN71" s="96" t="str">
        <f t="shared" si="35"/>
        <v/>
      </c>
      <c r="BO71" s="96" t="str">
        <f t="shared" si="36"/>
        <v/>
      </c>
      <c r="BP71" s="96" t="str">
        <f t="shared" si="37"/>
        <v/>
      </c>
      <c r="BQ71" s="96" t="str">
        <f t="shared" si="38"/>
        <v/>
      </c>
      <c r="BR71" s="96" t="str">
        <f t="shared" si="39"/>
        <v/>
      </c>
      <c r="BS71" s="96" t="str">
        <f t="shared" si="40"/>
        <v/>
      </c>
      <c r="BT71" s="96" t="str">
        <f t="shared" si="41"/>
        <v/>
      </c>
      <c r="BU71" s="95" t="str">
        <f t="shared" si="42"/>
        <v/>
      </c>
      <c r="BV71" s="205" t="str">
        <f t="shared" si="50"/>
        <v/>
      </c>
      <c r="BW71" s="96" t="s">
        <v>140</v>
      </c>
      <c r="BX71" s="96">
        <f>BG64</f>
        <v>0</v>
      </c>
    </row>
    <row r="72" spans="1:76" s="26" customFormat="1" ht="15.75" x14ac:dyDescent="0.25">
      <c r="B72" s="298">
        <v>7</v>
      </c>
      <c r="C72" s="122" t="str">
        <f t="shared" si="12"/>
        <v/>
      </c>
      <c r="D72" s="229" t="str">
        <f t="shared" si="43"/>
        <v/>
      </c>
      <c r="E72" s="176" t="str">
        <f t="shared" si="13"/>
        <v/>
      </c>
      <c r="F72" s="632"/>
      <c r="G72" s="633"/>
      <c r="H72" s="172" t="str">
        <f t="shared" si="14"/>
        <v/>
      </c>
      <c r="I72" s="363" t="str">
        <f t="shared" si="44"/>
        <v/>
      </c>
      <c r="J72" s="857" t="str">
        <f>IF(F72="","",VLOOKUP(F72,'10. Condition and Temporal'!$B$6:$F$103,5,FALSE))</f>
        <v/>
      </c>
      <c r="K72" s="858"/>
      <c r="L72" s="498" t="str">
        <f t="shared" si="45"/>
        <v/>
      </c>
      <c r="M72" s="856" t="str">
        <f t="shared" si="46"/>
        <v/>
      </c>
      <c r="N72" s="856"/>
      <c r="O72" s="75"/>
      <c r="P72" s="12"/>
      <c r="R72" s="664"/>
      <c r="T72" s="196" t="str">
        <f t="shared" si="15"/>
        <v/>
      </c>
      <c r="U72" s="117" t="str">
        <f t="shared" si="47"/>
        <v/>
      </c>
      <c r="V72" s="118" t="str">
        <f t="shared" si="16"/>
        <v/>
      </c>
      <c r="W72" s="116" t="str">
        <f t="shared" si="16"/>
        <v/>
      </c>
      <c r="X72" s="94" t="str">
        <f t="shared" si="16"/>
        <v/>
      </c>
      <c r="Y72" s="392"/>
      <c r="Z72" s="392"/>
      <c r="AA72" s="392"/>
      <c r="AB72" s="95" t="str">
        <f t="shared" si="17"/>
        <v/>
      </c>
      <c r="AC72" s="120" t="str">
        <f t="shared" si="18"/>
        <v/>
      </c>
      <c r="AD72" s="118" t="str">
        <f t="shared" si="48"/>
        <v/>
      </c>
      <c r="AE72" s="198" t="str">
        <f t="shared" si="49"/>
        <v/>
      </c>
      <c r="AF72" s="116" t="str">
        <f t="shared" si="19"/>
        <v/>
      </c>
      <c r="AG72" s="117" t="str">
        <f>IF(D72="","",VLOOKUP(F72,'9. All Habitats + Multipliers'!$C$4:$K$102,5,FALSE))</f>
        <v/>
      </c>
      <c r="AH72" s="118" t="str">
        <f>IF(AG72="","",VLOOKUP(AG72,'11. Lists'!$B$47:$D$49,2,FALSE))</f>
        <v/>
      </c>
      <c r="AI72" s="117" t="str">
        <f t="shared" si="20"/>
        <v/>
      </c>
      <c r="AJ72" s="96" t="str">
        <f>IF(AI72="","",VLOOKUP(AI72,'11. Lists'!$F$47:$G$51,2,FALSE))</f>
        <v/>
      </c>
      <c r="AK72" s="392"/>
      <c r="AL72" s="392"/>
      <c r="AM72" s="392"/>
      <c r="AN72" s="96" t="str">
        <f t="shared" si="21"/>
        <v/>
      </c>
      <c r="AO72" s="119" t="str">
        <f>IF(AN72="","",VLOOKUP(AN72,'11. Lists'!$F$36:$H$38,2,FALSE))</f>
        <v/>
      </c>
      <c r="AP72" s="118" t="str">
        <f>IF(AN72="","",VLOOKUP(AN72,'11. Lists'!$F$36:$H$38,3,FALSE))</f>
        <v/>
      </c>
      <c r="AQ72" s="117" t="str">
        <f>IF(D72="","",VLOOKUP(F72,'10. Condition and Temporal'!$B$6:$L$103,11,FALSE))</f>
        <v/>
      </c>
      <c r="AR72" s="121" t="str">
        <f>IF(AQ72="","",VLOOKUP(AQ72,'11. Lists'!$I$47:$K$80,3,FALSE))</f>
        <v/>
      </c>
      <c r="AS72" s="137" t="str">
        <f>IF(D72="","",VLOOKUP(F72,'10. Condition and Temporal'!$B$6:$M$106,12,FALSE))</f>
        <v/>
      </c>
      <c r="AT72" s="121" t="str">
        <f>IF(AS72="","",VLOOKUP(AS72,'11. Lists'!$I$47:$K$80,3,FALSE))</f>
        <v/>
      </c>
      <c r="AU72" s="120" t="str">
        <f>IF(D72="","",VLOOKUP(F72,'9. All Habitats + Multipliers'!$C$4:$K$102,8,FALSE))</f>
        <v/>
      </c>
      <c r="AV72" s="118" t="str">
        <f>IF(AU72="","",VLOOKUP(AU72,'11. Lists'!$J$35:$K$38,2,FALSE))</f>
        <v/>
      </c>
      <c r="AW72" s="117" t="str">
        <f>IF(D72="","",VLOOKUP(D72,'10. Condition and Temporal'!$B$6:$M$103,4,FALSE))</f>
        <v/>
      </c>
      <c r="AX72" s="118" t="str">
        <f t="shared" si="22"/>
        <v/>
      </c>
      <c r="AZ72" s="227"/>
      <c r="BA72" s="94">
        <v>7</v>
      </c>
      <c r="BB72" s="96" t="str">
        <f t="shared" si="23"/>
        <v/>
      </c>
      <c r="BC72" s="96" t="str">
        <f t="shared" si="24"/>
        <v/>
      </c>
      <c r="BD72" s="96" t="str">
        <f t="shared" si="25"/>
        <v/>
      </c>
      <c r="BE72" s="96" t="str">
        <f t="shared" si="26"/>
        <v/>
      </c>
      <c r="BF72" s="96" t="str">
        <f t="shared" si="27"/>
        <v/>
      </c>
      <c r="BG72" s="96" t="str">
        <f t="shared" si="28"/>
        <v/>
      </c>
      <c r="BH72" s="96" t="str">
        <f t="shared" si="29"/>
        <v/>
      </c>
      <c r="BI72" s="96" t="str">
        <f t="shared" si="30"/>
        <v/>
      </c>
      <c r="BJ72" s="96" t="str">
        <f t="shared" si="31"/>
        <v/>
      </c>
      <c r="BK72" s="96" t="str">
        <f t="shared" si="32"/>
        <v/>
      </c>
      <c r="BL72" s="96" t="str">
        <f t="shared" si="33"/>
        <v/>
      </c>
      <c r="BM72" s="96" t="str">
        <f t="shared" si="34"/>
        <v/>
      </c>
      <c r="BN72" s="96" t="str">
        <f t="shared" si="35"/>
        <v/>
      </c>
      <c r="BO72" s="96" t="str">
        <f t="shared" si="36"/>
        <v/>
      </c>
      <c r="BP72" s="96" t="str">
        <f t="shared" si="37"/>
        <v/>
      </c>
      <c r="BQ72" s="96" t="str">
        <f t="shared" si="38"/>
        <v/>
      </c>
      <c r="BR72" s="96" t="str">
        <f t="shared" si="39"/>
        <v/>
      </c>
      <c r="BS72" s="96" t="str">
        <f t="shared" si="40"/>
        <v/>
      </c>
      <c r="BT72" s="96" t="str">
        <f t="shared" si="41"/>
        <v/>
      </c>
      <c r="BU72" s="95" t="str">
        <f t="shared" si="42"/>
        <v/>
      </c>
      <c r="BV72" s="205" t="str">
        <f t="shared" si="50"/>
        <v/>
      </c>
      <c r="BW72" s="96" t="s">
        <v>141</v>
      </c>
      <c r="BX72" s="96">
        <f>BH64</f>
        <v>0</v>
      </c>
    </row>
    <row r="73" spans="1:76" s="26" customFormat="1" ht="15.75" x14ac:dyDescent="0.25">
      <c r="B73" s="298">
        <v>8</v>
      </c>
      <c r="C73" s="122" t="str">
        <f t="shared" si="12"/>
        <v/>
      </c>
      <c r="D73" s="229" t="str">
        <f t="shared" si="43"/>
        <v/>
      </c>
      <c r="E73" s="176" t="str">
        <f t="shared" si="13"/>
        <v/>
      </c>
      <c r="F73" s="632"/>
      <c r="G73" s="633"/>
      <c r="H73" s="172" t="str">
        <f t="shared" si="14"/>
        <v/>
      </c>
      <c r="I73" s="363" t="str">
        <f t="shared" si="44"/>
        <v/>
      </c>
      <c r="J73" s="857" t="str">
        <f>IF(F73="","",VLOOKUP(F73,'10. Condition and Temporal'!$B$6:$F$103,5,FALSE))</f>
        <v/>
      </c>
      <c r="K73" s="858"/>
      <c r="L73" s="498" t="str">
        <f t="shared" si="45"/>
        <v/>
      </c>
      <c r="M73" s="856" t="str">
        <f t="shared" si="46"/>
        <v/>
      </c>
      <c r="N73" s="856"/>
      <c r="O73" s="75"/>
      <c r="P73" s="12"/>
      <c r="R73" s="664"/>
      <c r="T73" s="196" t="str">
        <f t="shared" si="15"/>
        <v/>
      </c>
      <c r="U73" s="117" t="str">
        <f t="shared" si="47"/>
        <v/>
      </c>
      <c r="V73" s="118" t="str">
        <f t="shared" si="16"/>
        <v/>
      </c>
      <c r="W73" s="116" t="str">
        <f t="shared" si="16"/>
        <v/>
      </c>
      <c r="X73" s="94" t="str">
        <f t="shared" si="16"/>
        <v/>
      </c>
      <c r="Y73" s="392"/>
      <c r="Z73" s="392"/>
      <c r="AA73" s="392"/>
      <c r="AB73" s="95" t="str">
        <f t="shared" si="17"/>
        <v/>
      </c>
      <c r="AC73" s="120" t="str">
        <f t="shared" si="18"/>
        <v/>
      </c>
      <c r="AD73" s="118" t="str">
        <f t="shared" si="48"/>
        <v/>
      </c>
      <c r="AE73" s="198" t="str">
        <f t="shared" si="49"/>
        <v/>
      </c>
      <c r="AF73" s="116" t="str">
        <f t="shared" si="19"/>
        <v/>
      </c>
      <c r="AG73" s="117" t="str">
        <f>IF(D73="","",VLOOKUP(F73,'9. All Habitats + Multipliers'!$C$4:$K$102,5,FALSE))</f>
        <v/>
      </c>
      <c r="AH73" s="118" t="str">
        <f>IF(AG73="","",VLOOKUP(AG73,'11. Lists'!$B$47:$D$49,2,FALSE))</f>
        <v/>
      </c>
      <c r="AI73" s="117" t="str">
        <f t="shared" si="20"/>
        <v/>
      </c>
      <c r="AJ73" s="96" t="str">
        <f>IF(AI73="","",VLOOKUP(AI73,'11. Lists'!$F$47:$G$51,2,FALSE))</f>
        <v/>
      </c>
      <c r="AK73" s="392"/>
      <c r="AL73" s="392"/>
      <c r="AM73" s="392"/>
      <c r="AN73" s="96" t="str">
        <f t="shared" si="21"/>
        <v/>
      </c>
      <c r="AO73" s="119" t="str">
        <f>IF(AN73="","",VLOOKUP(AN73,'11. Lists'!$F$36:$H$38,2,FALSE))</f>
        <v/>
      </c>
      <c r="AP73" s="118" t="str">
        <f>IF(AN73="","",VLOOKUP(AN73,'11. Lists'!$F$36:$H$38,3,FALSE))</f>
        <v/>
      </c>
      <c r="AQ73" s="117" t="str">
        <f>IF(D73="","",VLOOKUP(F73,'10. Condition and Temporal'!$B$6:$L$103,11,FALSE))</f>
        <v/>
      </c>
      <c r="AR73" s="121" t="str">
        <f>IF(AQ73="","",VLOOKUP(AQ73,'11. Lists'!$I$47:$K$80,3,FALSE))</f>
        <v/>
      </c>
      <c r="AS73" s="137" t="str">
        <f>IF(D73="","",VLOOKUP(F73,'10. Condition and Temporal'!$B$6:$M$106,12,FALSE))</f>
        <v/>
      </c>
      <c r="AT73" s="121" t="str">
        <f>IF(AS73="","",VLOOKUP(AS73,'11. Lists'!$I$47:$K$80,3,FALSE))</f>
        <v/>
      </c>
      <c r="AU73" s="120" t="str">
        <f>IF(D73="","",VLOOKUP(F73,'9. All Habitats + Multipliers'!$C$4:$K$102,8,FALSE))</f>
        <v/>
      </c>
      <c r="AV73" s="118" t="str">
        <f>IF(AU73="","",VLOOKUP(AU73,'11. Lists'!$J$35:$K$38,2,FALSE))</f>
        <v/>
      </c>
      <c r="AW73" s="117" t="str">
        <f>IF(D73="","",VLOOKUP(D73,'10. Condition and Temporal'!$B$6:$M$103,4,FALSE))</f>
        <v/>
      </c>
      <c r="AX73" s="118" t="str">
        <f t="shared" si="22"/>
        <v/>
      </c>
      <c r="AZ73" s="227"/>
      <c r="BA73" s="94">
        <v>8</v>
      </c>
      <c r="BB73" s="96" t="str">
        <f t="shared" si="23"/>
        <v/>
      </c>
      <c r="BC73" s="96" t="str">
        <f t="shared" si="24"/>
        <v/>
      </c>
      <c r="BD73" s="96" t="str">
        <f t="shared" si="25"/>
        <v/>
      </c>
      <c r="BE73" s="96" t="str">
        <f t="shared" si="26"/>
        <v/>
      </c>
      <c r="BF73" s="96" t="str">
        <f t="shared" si="27"/>
        <v/>
      </c>
      <c r="BG73" s="96" t="str">
        <f t="shared" si="28"/>
        <v/>
      </c>
      <c r="BH73" s="96" t="str">
        <f t="shared" si="29"/>
        <v/>
      </c>
      <c r="BI73" s="96" t="str">
        <f t="shared" si="30"/>
        <v/>
      </c>
      <c r="BJ73" s="96" t="str">
        <f t="shared" si="31"/>
        <v/>
      </c>
      <c r="BK73" s="96" t="str">
        <f t="shared" si="32"/>
        <v/>
      </c>
      <c r="BL73" s="96" t="str">
        <f t="shared" si="33"/>
        <v/>
      </c>
      <c r="BM73" s="96" t="str">
        <f t="shared" si="34"/>
        <v/>
      </c>
      <c r="BN73" s="96" t="str">
        <f t="shared" si="35"/>
        <v/>
      </c>
      <c r="BO73" s="96" t="str">
        <f t="shared" si="36"/>
        <v/>
      </c>
      <c r="BP73" s="96" t="str">
        <f t="shared" si="37"/>
        <v/>
      </c>
      <c r="BQ73" s="96" t="str">
        <f t="shared" si="38"/>
        <v/>
      </c>
      <c r="BR73" s="96" t="str">
        <f t="shared" si="39"/>
        <v/>
      </c>
      <c r="BS73" s="96" t="str">
        <f t="shared" si="40"/>
        <v/>
      </c>
      <c r="BT73" s="96" t="str">
        <f t="shared" si="41"/>
        <v/>
      </c>
      <c r="BU73" s="95" t="str">
        <f t="shared" si="42"/>
        <v/>
      </c>
      <c r="BV73" s="205" t="str">
        <f t="shared" si="50"/>
        <v/>
      </c>
      <c r="BW73" s="96" t="s">
        <v>142</v>
      </c>
      <c r="BX73" s="96">
        <f>BI64</f>
        <v>0</v>
      </c>
    </row>
    <row r="74" spans="1:76" s="26" customFormat="1" ht="15.75" x14ac:dyDescent="0.25">
      <c r="B74" s="298">
        <v>9</v>
      </c>
      <c r="C74" s="122" t="str">
        <f t="shared" si="12"/>
        <v/>
      </c>
      <c r="D74" s="229" t="str">
        <f t="shared" si="43"/>
        <v/>
      </c>
      <c r="E74" s="176" t="str">
        <f t="shared" si="13"/>
        <v/>
      </c>
      <c r="F74" s="632"/>
      <c r="G74" s="633"/>
      <c r="H74" s="172" t="str">
        <f t="shared" si="14"/>
        <v/>
      </c>
      <c r="I74" s="363" t="str">
        <f t="shared" si="44"/>
        <v/>
      </c>
      <c r="J74" s="857" t="str">
        <f>IF(F74="","",VLOOKUP(F74,'10. Condition and Temporal'!$B$6:$F$103,5,FALSE))</f>
        <v/>
      </c>
      <c r="K74" s="858"/>
      <c r="L74" s="498" t="str">
        <f t="shared" si="45"/>
        <v/>
      </c>
      <c r="M74" s="856" t="str">
        <f t="shared" si="46"/>
        <v/>
      </c>
      <c r="N74" s="856"/>
      <c r="O74" s="75"/>
      <c r="P74" s="12"/>
      <c r="R74" s="664"/>
      <c r="T74" s="196" t="str">
        <f t="shared" si="15"/>
        <v/>
      </c>
      <c r="U74" s="117" t="str">
        <f t="shared" si="47"/>
        <v/>
      </c>
      <c r="V74" s="118" t="str">
        <f t="shared" si="16"/>
        <v/>
      </c>
      <c r="W74" s="116" t="str">
        <f t="shared" si="16"/>
        <v/>
      </c>
      <c r="X74" s="94" t="str">
        <f t="shared" si="16"/>
        <v/>
      </c>
      <c r="Y74" s="392"/>
      <c r="Z74" s="392"/>
      <c r="AA74" s="392"/>
      <c r="AB74" s="95" t="str">
        <f t="shared" si="17"/>
        <v/>
      </c>
      <c r="AC74" s="120" t="str">
        <f t="shared" si="18"/>
        <v/>
      </c>
      <c r="AD74" s="118" t="str">
        <f t="shared" si="48"/>
        <v/>
      </c>
      <c r="AE74" s="198" t="str">
        <f t="shared" si="49"/>
        <v/>
      </c>
      <c r="AF74" s="116" t="str">
        <f t="shared" si="19"/>
        <v/>
      </c>
      <c r="AG74" s="117" t="str">
        <f>IF(D74="","",VLOOKUP(F74,'9. All Habitats + Multipliers'!$C$4:$K$102,5,FALSE))</f>
        <v/>
      </c>
      <c r="AH74" s="118" t="str">
        <f>IF(AG74="","",VLOOKUP(AG74,'11. Lists'!$B$47:$D$49,2,FALSE))</f>
        <v/>
      </c>
      <c r="AI74" s="117" t="str">
        <f t="shared" si="20"/>
        <v/>
      </c>
      <c r="AJ74" s="96" t="str">
        <f>IF(AI74="","",VLOOKUP(AI74,'11. Lists'!$F$47:$G$51,2,FALSE))</f>
        <v/>
      </c>
      <c r="AK74" s="392"/>
      <c r="AL74" s="392"/>
      <c r="AM74" s="392"/>
      <c r="AN74" s="96" t="str">
        <f t="shared" si="21"/>
        <v/>
      </c>
      <c r="AO74" s="119" t="str">
        <f>IF(AN74="","",VLOOKUP(AN74,'11. Lists'!$F$36:$H$38,2,FALSE))</f>
        <v/>
      </c>
      <c r="AP74" s="118" t="str">
        <f>IF(AN74="","",VLOOKUP(AN74,'11. Lists'!$F$36:$H$38,3,FALSE))</f>
        <v/>
      </c>
      <c r="AQ74" s="117" t="str">
        <f>IF(D74="","",VLOOKUP(F74,'10. Condition and Temporal'!$B$6:$L$103,11,FALSE))</f>
        <v/>
      </c>
      <c r="AR74" s="121" t="str">
        <f>IF(AQ74="","",VLOOKUP(AQ74,'11. Lists'!$I$47:$K$80,3,FALSE))</f>
        <v/>
      </c>
      <c r="AS74" s="137" t="str">
        <f>IF(D74="","",VLOOKUP(F74,'10. Condition and Temporal'!$B$6:$M$106,12,FALSE))</f>
        <v/>
      </c>
      <c r="AT74" s="121" t="str">
        <f>IF(AS74="","",VLOOKUP(AS74,'11. Lists'!$I$47:$K$80,3,FALSE))</f>
        <v/>
      </c>
      <c r="AU74" s="120" t="str">
        <f>IF(D74="","",VLOOKUP(F74,'9. All Habitats + Multipliers'!$C$4:$K$102,8,FALSE))</f>
        <v/>
      </c>
      <c r="AV74" s="118" t="str">
        <f>IF(AU74="","",VLOOKUP(AU74,'11. Lists'!$J$35:$K$38,2,FALSE))</f>
        <v/>
      </c>
      <c r="AW74" s="117" t="str">
        <f>IF(D74="","",VLOOKUP(D74,'10. Condition and Temporal'!$B$6:$M$103,4,FALSE))</f>
        <v/>
      </c>
      <c r="AX74" s="118" t="str">
        <f t="shared" si="22"/>
        <v/>
      </c>
      <c r="AZ74" s="227"/>
      <c r="BA74" s="94">
        <v>9</v>
      </c>
      <c r="BB74" s="96" t="str">
        <f t="shared" si="23"/>
        <v/>
      </c>
      <c r="BC74" s="96" t="str">
        <f t="shared" si="24"/>
        <v/>
      </c>
      <c r="BD74" s="96" t="str">
        <f t="shared" si="25"/>
        <v/>
      </c>
      <c r="BE74" s="96" t="str">
        <f t="shared" si="26"/>
        <v/>
      </c>
      <c r="BF74" s="96" t="str">
        <f t="shared" si="27"/>
        <v/>
      </c>
      <c r="BG74" s="96" t="str">
        <f t="shared" si="28"/>
        <v/>
      </c>
      <c r="BH74" s="96" t="str">
        <f t="shared" si="29"/>
        <v/>
      </c>
      <c r="BI74" s="96" t="str">
        <f t="shared" si="30"/>
        <v/>
      </c>
      <c r="BJ74" s="96" t="str">
        <f t="shared" si="31"/>
        <v/>
      </c>
      <c r="BK74" s="96" t="str">
        <f t="shared" si="32"/>
        <v/>
      </c>
      <c r="BL74" s="96" t="str">
        <f t="shared" si="33"/>
        <v/>
      </c>
      <c r="BM74" s="96" t="str">
        <f t="shared" si="34"/>
        <v/>
      </c>
      <c r="BN74" s="96" t="str">
        <f t="shared" si="35"/>
        <v/>
      </c>
      <c r="BO74" s="96" t="str">
        <f t="shared" si="36"/>
        <v/>
      </c>
      <c r="BP74" s="96" t="str">
        <f t="shared" si="37"/>
        <v/>
      </c>
      <c r="BQ74" s="96" t="str">
        <f t="shared" si="38"/>
        <v/>
      </c>
      <c r="BR74" s="96" t="str">
        <f t="shared" si="39"/>
        <v/>
      </c>
      <c r="BS74" s="96" t="str">
        <f t="shared" si="40"/>
        <v/>
      </c>
      <c r="BT74" s="96" t="str">
        <f t="shared" si="41"/>
        <v/>
      </c>
      <c r="BU74" s="95" t="str">
        <f t="shared" si="42"/>
        <v/>
      </c>
      <c r="BV74" s="205" t="str">
        <f t="shared" si="50"/>
        <v/>
      </c>
      <c r="BW74" s="96" t="s">
        <v>143</v>
      </c>
      <c r="BX74" s="96">
        <f>BJ64</f>
        <v>0</v>
      </c>
    </row>
    <row r="75" spans="1:76" s="26" customFormat="1" ht="15.75" x14ac:dyDescent="0.25">
      <c r="B75" s="298">
        <v>10</v>
      </c>
      <c r="C75" s="122" t="str">
        <f t="shared" si="12"/>
        <v/>
      </c>
      <c r="D75" s="229" t="str">
        <f t="shared" si="43"/>
        <v/>
      </c>
      <c r="E75" s="176" t="str">
        <f t="shared" si="13"/>
        <v/>
      </c>
      <c r="F75" s="632"/>
      <c r="G75" s="633"/>
      <c r="H75" s="172" t="str">
        <f t="shared" si="14"/>
        <v/>
      </c>
      <c r="I75" s="363" t="str">
        <f t="shared" si="44"/>
        <v/>
      </c>
      <c r="J75" s="857" t="str">
        <f>IF(F75="","",VLOOKUP(F75,'10. Condition and Temporal'!$B$6:$F$103,5,FALSE))</f>
        <v/>
      </c>
      <c r="K75" s="858"/>
      <c r="L75" s="498" t="str">
        <f t="shared" si="45"/>
        <v/>
      </c>
      <c r="M75" s="856" t="str">
        <f t="shared" si="46"/>
        <v/>
      </c>
      <c r="N75" s="856"/>
      <c r="O75" s="75"/>
      <c r="P75" s="12"/>
      <c r="R75" s="664"/>
      <c r="T75" s="196" t="str">
        <f t="shared" si="15"/>
        <v/>
      </c>
      <c r="U75" s="117" t="str">
        <f t="shared" si="47"/>
        <v/>
      </c>
      <c r="V75" s="118" t="str">
        <f t="shared" si="16"/>
        <v/>
      </c>
      <c r="W75" s="116" t="str">
        <f t="shared" si="16"/>
        <v/>
      </c>
      <c r="X75" s="94" t="str">
        <f t="shared" si="16"/>
        <v/>
      </c>
      <c r="Y75" s="392"/>
      <c r="Z75" s="392"/>
      <c r="AA75" s="392"/>
      <c r="AB75" s="95" t="str">
        <f t="shared" si="17"/>
        <v/>
      </c>
      <c r="AC75" s="120" t="str">
        <f t="shared" si="18"/>
        <v/>
      </c>
      <c r="AD75" s="118" t="str">
        <f t="shared" si="48"/>
        <v/>
      </c>
      <c r="AE75" s="198" t="str">
        <f t="shared" si="49"/>
        <v/>
      </c>
      <c r="AF75" s="116" t="str">
        <f t="shared" si="19"/>
        <v/>
      </c>
      <c r="AG75" s="117" t="str">
        <f>IF(D75="","",VLOOKUP(F75,'9. All Habitats + Multipliers'!$C$4:$K$102,5,FALSE))</f>
        <v/>
      </c>
      <c r="AH75" s="118" t="str">
        <f>IF(AG75="","",VLOOKUP(AG75,'11. Lists'!$B$47:$D$49,2,FALSE))</f>
        <v/>
      </c>
      <c r="AI75" s="117" t="str">
        <f t="shared" si="20"/>
        <v/>
      </c>
      <c r="AJ75" s="96" t="str">
        <f>IF(AI75="","",VLOOKUP(AI75,'11. Lists'!$F$47:$G$51,2,FALSE))</f>
        <v/>
      </c>
      <c r="AK75" s="392"/>
      <c r="AL75" s="392"/>
      <c r="AM75" s="392"/>
      <c r="AN75" s="96" t="str">
        <f t="shared" si="21"/>
        <v/>
      </c>
      <c r="AO75" s="119" t="str">
        <f>IF(AN75="","",VLOOKUP(AN75,'11. Lists'!$F$36:$H$38,2,FALSE))</f>
        <v/>
      </c>
      <c r="AP75" s="118" t="str">
        <f>IF(AN75="","",VLOOKUP(AN75,'11. Lists'!$F$36:$H$38,3,FALSE))</f>
        <v/>
      </c>
      <c r="AQ75" s="117" t="str">
        <f>IF(D75="","",VLOOKUP(F75,'10. Condition and Temporal'!$B$6:$L$103,11,FALSE))</f>
        <v/>
      </c>
      <c r="AR75" s="121" t="str">
        <f>IF(AQ75="","",VLOOKUP(AQ75,'11. Lists'!$I$47:$K$80,3,FALSE))</f>
        <v/>
      </c>
      <c r="AS75" s="137" t="str">
        <f>IF(D75="","",VLOOKUP(F75,'10. Condition and Temporal'!$B$6:$M$106,12,FALSE))</f>
        <v/>
      </c>
      <c r="AT75" s="121" t="str">
        <f>IF(AS75="","",VLOOKUP(AS75,'11. Lists'!$I$47:$K$80,3,FALSE))</f>
        <v/>
      </c>
      <c r="AU75" s="120" t="str">
        <f>IF(D75="","",VLOOKUP(F75,'9. All Habitats + Multipliers'!$C$4:$K$102,8,FALSE))</f>
        <v/>
      </c>
      <c r="AV75" s="118" t="str">
        <f>IF(AU75="","",VLOOKUP(AU75,'11. Lists'!$J$35:$K$38,2,FALSE))</f>
        <v/>
      </c>
      <c r="AW75" s="117" t="str">
        <f>IF(D75="","",VLOOKUP(D75,'10. Condition and Temporal'!$B$6:$M$103,4,FALSE))</f>
        <v/>
      </c>
      <c r="AX75" s="118" t="str">
        <f t="shared" si="22"/>
        <v/>
      </c>
      <c r="AZ75" s="227"/>
      <c r="BA75" s="94">
        <v>10</v>
      </c>
      <c r="BB75" s="96" t="str">
        <f t="shared" si="23"/>
        <v/>
      </c>
      <c r="BC75" s="96" t="str">
        <f t="shared" si="24"/>
        <v/>
      </c>
      <c r="BD75" s="96" t="str">
        <f t="shared" si="25"/>
        <v/>
      </c>
      <c r="BE75" s="96" t="str">
        <f t="shared" si="26"/>
        <v/>
      </c>
      <c r="BF75" s="96" t="str">
        <f t="shared" si="27"/>
        <v/>
      </c>
      <c r="BG75" s="96" t="str">
        <f t="shared" si="28"/>
        <v/>
      </c>
      <c r="BH75" s="96" t="str">
        <f t="shared" si="29"/>
        <v/>
      </c>
      <c r="BI75" s="96" t="str">
        <f t="shared" si="30"/>
        <v/>
      </c>
      <c r="BJ75" s="96" t="str">
        <f t="shared" si="31"/>
        <v/>
      </c>
      <c r="BK75" s="96" t="str">
        <f t="shared" si="32"/>
        <v/>
      </c>
      <c r="BL75" s="96" t="str">
        <f t="shared" si="33"/>
        <v/>
      </c>
      <c r="BM75" s="96" t="str">
        <f t="shared" si="34"/>
        <v/>
      </c>
      <c r="BN75" s="96" t="str">
        <f t="shared" si="35"/>
        <v/>
      </c>
      <c r="BO75" s="96" t="str">
        <f t="shared" si="36"/>
        <v/>
      </c>
      <c r="BP75" s="96" t="str">
        <f t="shared" si="37"/>
        <v/>
      </c>
      <c r="BQ75" s="96" t="str">
        <f t="shared" si="38"/>
        <v/>
      </c>
      <c r="BR75" s="96" t="str">
        <f t="shared" si="39"/>
        <v/>
      </c>
      <c r="BS75" s="96" t="str">
        <f t="shared" si="40"/>
        <v/>
      </c>
      <c r="BT75" s="96" t="str">
        <f t="shared" si="41"/>
        <v/>
      </c>
      <c r="BU75" s="95" t="str">
        <f t="shared" si="42"/>
        <v/>
      </c>
      <c r="BV75" s="205" t="str">
        <f t="shared" si="50"/>
        <v/>
      </c>
      <c r="BW75" s="96" t="s">
        <v>144</v>
      </c>
      <c r="BX75" s="96">
        <f>BK64</f>
        <v>0</v>
      </c>
    </row>
    <row r="76" spans="1:76" s="26" customFormat="1" ht="15.75" x14ac:dyDescent="0.25">
      <c r="B76" s="298">
        <v>11</v>
      </c>
      <c r="C76" s="122" t="str">
        <f t="shared" si="12"/>
        <v/>
      </c>
      <c r="D76" s="229" t="str">
        <f t="shared" si="43"/>
        <v/>
      </c>
      <c r="E76" s="176" t="str">
        <f t="shared" si="13"/>
        <v/>
      </c>
      <c r="F76" s="632"/>
      <c r="G76" s="633"/>
      <c r="H76" s="172" t="str">
        <f t="shared" si="14"/>
        <v/>
      </c>
      <c r="I76" s="363" t="str">
        <f t="shared" si="44"/>
        <v/>
      </c>
      <c r="J76" s="857" t="str">
        <f>IF(F76="","",VLOOKUP(F76,'10. Condition and Temporal'!$B$6:$F$103,5,FALSE))</f>
        <v/>
      </c>
      <c r="K76" s="858"/>
      <c r="L76" s="498" t="str">
        <f t="shared" si="45"/>
        <v/>
      </c>
      <c r="M76" s="856" t="str">
        <f t="shared" si="46"/>
        <v/>
      </c>
      <c r="N76" s="856"/>
      <c r="O76" s="75"/>
      <c r="P76" s="12"/>
      <c r="R76" s="664"/>
      <c r="T76" s="196" t="str">
        <f t="shared" si="15"/>
        <v/>
      </c>
      <c r="U76" s="117" t="str">
        <f t="shared" si="47"/>
        <v/>
      </c>
      <c r="V76" s="118" t="str">
        <f t="shared" si="16"/>
        <v/>
      </c>
      <c r="W76" s="116" t="str">
        <f t="shared" si="16"/>
        <v/>
      </c>
      <c r="X76" s="94" t="str">
        <f t="shared" si="16"/>
        <v/>
      </c>
      <c r="Y76" s="392"/>
      <c r="Z76" s="392"/>
      <c r="AA76" s="392"/>
      <c r="AB76" s="95" t="str">
        <f t="shared" si="17"/>
        <v/>
      </c>
      <c r="AC76" s="120" t="str">
        <f t="shared" si="18"/>
        <v/>
      </c>
      <c r="AD76" s="118" t="str">
        <f t="shared" si="48"/>
        <v/>
      </c>
      <c r="AE76" s="198" t="str">
        <f t="shared" si="49"/>
        <v/>
      </c>
      <c r="AF76" s="116" t="str">
        <f t="shared" si="19"/>
        <v/>
      </c>
      <c r="AG76" s="117" t="str">
        <f>IF(D76="","",VLOOKUP(F76,'9. All Habitats + Multipliers'!$C$4:$K$102,5,FALSE))</f>
        <v/>
      </c>
      <c r="AH76" s="118" t="str">
        <f>IF(AG76="","",VLOOKUP(AG76,'11. Lists'!$B$47:$D$49,2,FALSE))</f>
        <v/>
      </c>
      <c r="AI76" s="117" t="str">
        <f t="shared" si="20"/>
        <v/>
      </c>
      <c r="AJ76" s="96" t="str">
        <f>IF(AI76="","",VLOOKUP(AI76,'11. Lists'!$F$47:$G$51,2,FALSE))</f>
        <v/>
      </c>
      <c r="AK76" s="392"/>
      <c r="AL76" s="392"/>
      <c r="AM76" s="392"/>
      <c r="AN76" s="96" t="str">
        <f t="shared" si="21"/>
        <v/>
      </c>
      <c r="AO76" s="119" t="str">
        <f>IF(AN76="","",VLOOKUP(AN76,'11. Lists'!$F$36:$H$38,2,FALSE))</f>
        <v/>
      </c>
      <c r="AP76" s="118" t="str">
        <f>IF(AN76="","",VLOOKUP(AN76,'11. Lists'!$F$36:$H$38,3,FALSE))</f>
        <v/>
      </c>
      <c r="AQ76" s="117" t="str">
        <f>IF(D76="","",VLOOKUP(F76,'10. Condition and Temporal'!$B$6:$L$103,11,FALSE))</f>
        <v/>
      </c>
      <c r="AR76" s="121" t="str">
        <f>IF(AQ76="","",VLOOKUP(AQ76,'11. Lists'!$I$47:$K$80,3,FALSE))</f>
        <v/>
      </c>
      <c r="AS76" s="137" t="str">
        <f>IF(D76="","",VLOOKUP(F76,'10. Condition and Temporal'!$B$6:$M$106,12,FALSE))</f>
        <v/>
      </c>
      <c r="AT76" s="121" t="str">
        <f>IF(AS76="","",VLOOKUP(AS76,'11. Lists'!$I$47:$K$80,3,FALSE))</f>
        <v/>
      </c>
      <c r="AU76" s="120" t="str">
        <f>IF(D76="","",VLOOKUP(F76,'9. All Habitats + Multipliers'!$C$4:$K$102,8,FALSE))</f>
        <v/>
      </c>
      <c r="AV76" s="118" t="str">
        <f>IF(AU76="","",VLOOKUP(AU76,'11. Lists'!$J$35:$K$38,2,FALSE))</f>
        <v/>
      </c>
      <c r="AW76" s="117" t="str">
        <f>IF(D76="","",VLOOKUP(D76,'10. Condition and Temporal'!$B$6:$M$103,4,FALSE))</f>
        <v/>
      </c>
      <c r="AX76" s="118" t="str">
        <f t="shared" si="22"/>
        <v/>
      </c>
      <c r="AZ76" s="227"/>
      <c r="BA76" s="94">
        <v>11</v>
      </c>
      <c r="BB76" s="96" t="str">
        <f t="shared" si="23"/>
        <v/>
      </c>
      <c r="BC76" s="96" t="str">
        <f t="shared" si="24"/>
        <v/>
      </c>
      <c r="BD76" s="96" t="str">
        <f t="shared" si="25"/>
        <v/>
      </c>
      <c r="BE76" s="96" t="str">
        <f t="shared" si="26"/>
        <v/>
      </c>
      <c r="BF76" s="96" t="str">
        <f t="shared" si="27"/>
        <v/>
      </c>
      <c r="BG76" s="96" t="str">
        <f t="shared" si="28"/>
        <v/>
      </c>
      <c r="BH76" s="96" t="str">
        <f t="shared" si="29"/>
        <v/>
      </c>
      <c r="BI76" s="96" t="str">
        <f t="shared" si="30"/>
        <v/>
      </c>
      <c r="BJ76" s="96" t="str">
        <f t="shared" si="31"/>
        <v/>
      </c>
      <c r="BK76" s="96" t="str">
        <f t="shared" si="32"/>
        <v/>
      </c>
      <c r="BL76" s="96" t="str">
        <f t="shared" si="33"/>
        <v/>
      </c>
      <c r="BM76" s="96" t="str">
        <f t="shared" si="34"/>
        <v/>
      </c>
      <c r="BN76" s="96" t="str">
        <f t="shared" si="35"/>
        <v/>
      </c>
      <c r="BO76" s="96" t="str">
        <f t="shared" si="36"/>
        <v/>
      </c>
      <c r="BP76" s="96" t="str">
        <f t="shared" si="37"/>
        <v/>
      </c>
      <c r="BQ76" s="96" t="str">
        <f t="shared" si="38"/>
        <v/>
      </c>
      <c r="BR76" s="96" t="str">
        <f t="shared" si="39"/>
        <v/>
      </c>
      <c r="BS76" s="96" t="str">
        <f t="shared" si="40"/>
        <v/>
      </c>
      <c r="BT76" s="96" t="str">
        <f t="shared" si="41"/>
        <v/>
      </c>
      <c r="BU76" s="95" t="str">
        <f t="shared" si="42"/>
        <v/>
      </c>
      <c r="BV76" s="205" t="str">
        <f t="shared" si="50"/>
        <v/>
      </c>
      <c r="BW76" s="96" t="s">
        <v>145</v>
      </c>
      <c r="BX76" s="96">
        <f>BL64</f>
        <v>0</v>
      </c>
    </row>
    <row r="77" spans="1:76" s="26" customFormat="1" ht="15.75" x14ac:dyDescent="0.25">
      <c r="B77" s="298">
        <v>12</v>
      </c>
      <c r="C77" s="122" t="str">
        <f t="shared" si="12"/>
        <v/>
      </c>
      <c r="D77" s="229" t="str">
        <f t="shared" si="43"/>
        <v/>
      </c>
      <c r="E77" s="176" t="str">
        <f t="shared" si="13"/>
        <v/>
      </c>
      <c r="F77" s="632"/>
      <c r="G77" s="633"/>
      <c r="H77" s="172" t="str">
        <f t="shared" si="14"/>
        <v/>
      </c>
      <c r="I77" s="363" t="str">
        <f t="shared" si="44"/>
        <v/>
      </c>
      <c r="J77" s="857" t="str">
        <f>IF(F77="","",VLOOKUP(F77,'10. Condition and Temporal'!$B$6:$F$103,5,FALSE))</f>
        <v/>
      </c>
      <c r="K77" s="858"/>
      <c r="L77" s="498" t="str">
        <f t="shared" si="45"/>
        <v/>
      </c>
      <c r="M77" s="856" t="str">
        <f t="shared" si="46"/>
        <v/>
      </c>
      <c r="N77" s="856"/>
      <c r="O77" s="75"/>
      <c r="P77" s="12"/>
      <c r="R77" s="664"/>
      <c r="T77" s="196" t="str">
        <f t="shared" si="15"/>
        <v/>
      </c>
      <c r="U77" s="117" t="str">
        <f t="shared" si="47"/>
        <v/>
      </c>
      <c r="V77" s="118" t="str">
        <f t="shared" si="16"/>
        <v/>
      </c>
      <c r="W77" s="116" t="str">
        <f t="shared" si="16"/>
        <v/>
      </c>
      <c r="X77" s="94" t="str">
        <f t="shared" si="16"/>
        <v/>
      </c>
      <c r="Y77" s="392"/>
      <c r="Z77" s="392"/>
      <c r="AA77" s="392"/>
      <c r="AB77" s="95" t="str">
        <f t="shared" si="17"/>
        <v/>
      </c>
      <c r="AC77" s="120" t="str">
        <f t="shared" si="18"/>
        <v/>
      </c>
      <c r="AD77" s="118" t="str">
        <f t="shared" si="48"/>
        <v/>
      </c>
      <c r="AE77" s="198" t="str">
        <f t="shared" si="49"/>
        <v/>
      </c>
      <c r="AF77" s="116" t="str">
        <f t="shared" si="19"/>
        <v/>
      </c>
      <c r="AG77" s="117" t="str">
        <f>IF(D77="","",VLOOKUP(F77,'9. All Habitats + Multipliers'!$C$4:$K$102,5,FALSE))</f>
        <v/>
      </c>
      <c r="AH77" s="118" t="str">
        <f>IF(AG77="","",VLOOKUP(AG77,'11. Lists'!$B$47:$D$49,2,FALSE))</f>
        <v/>
      </c>
      <c r="AI77" s="117" t="str">
        <f t="shared" si="20"/>
        <v/>
      </c>
      <c r="AJ77" s="96" t="str">
        <f>IF(AI77="","",VLOOKUP(AI77,'11. Lists'!$F$47:$G$51,2,FALSE))</f>
        <v/>
      </c>
      <c r="AK77" s="392"/>
      <c r="AL77" s="392"/>
      <c r="AM77" s="392"/>
      <c r="AN77" s="96" t="str">
        <f t="shared" si="21"/>
        <v/>
      </c>
      <c r="AO77" s="119" t="str">
        <f>IF(AN77="","",VLOOKUP(AN77,'11. Lists'!$F$36:$H$38,2,FALSE))</f>
        <v/>
      </c>
      <c r="AP77" s="118" t="str">
        <f>IF(AN77="","",VLOOKUP(AN77,'11. Lists'!$F$36:$H$38,3,FALSE))</f>
        <v/>
      </c>
      <c r="AQ77" s="117" t="str">
        <f>IF(D77="","",VLOOKUP(F77,'10. Condition and Temporal'!$B$6:$L$103,11,FALSE))</f>
        <v/>
      </c>
      <c r="AR77" s="121" t="str">
        <f>IF(AQ77="","",VLOOKUP(AQ77,'11. Lists'!$I$47:$K$80,3,FALSE))</f>
        <v/>
      </c>
      <c r="AS77" s="137" t="str">
        <f>IF(D77="","",VLOOKUP(F77,'10. Condition and Temporal'!$B$6:$M$106,12,FALSE))</f>
        <v/>
      </c>
      <c r="AT77" s="121" t="str">
        <f>IF(AS77="","",VLOOKUP(AS77,'11. Lists'!$I$47:$K$80,3,FALSE))</f>
        <v/>
      </c>
      <c r="AU77" s="120" t="str">
        <f>IF(D77="","",VLOOKUP(F77,'9. All Habitats + Multipliers'!$C$4:$K$102,8,FALSE))</f>
        <v/>
      </c>
      <c r="AV77" s="118" t="str">
        <f>IF(AU77="","",VLOOKUP(AU77,'11. Lists'!$J$35:$K$38,2,FALSE))</f>
        <v/>
      </c>
      <c r="AW77" s="117" t="str">
        <f>IF(D77="","",VLOOKUP(D77,'10. Condition and Temporal'!$B$6:$M$103,4,FALSE))</f>
        <v/>
      </c>
      <c r="AX77" s="118" t="str">
        <f t="shared" si="22"/>
        <v/>
      </c>
      <c r="AZ77" s="227"/>
      <c r="BA77" s="94">
        <v>12</v>
      </c>
      <c r="BB77" s="96" t="str">
        <f t="shared" si="23"/>
        <v/>
      </c>
      <c r="BC77" s="96" t="str">
        <f t="shared" si="24"/>
        <v/>
      </c>
      <c r="BD77" s="96" t="str">
        <f t="shared" si="25"/>
        <v/>
      </c>
      <c r="BE77" s="96" t="str">
        <f t="shared" si="26"/>
        <v/>
      </c>
      <c r="BF77" s="96" t="str">
        <f t="shared" si="27"/>
        <v/>
      </c>
      <c r="BG77" s="96" t="str">
        <f t="shared" si="28"/>
        <v/>
      </c>
      <c r="BH77" s="96" t="str">
        <f t="shared" si="29"/>
        <v/>
      </c>
      <c r="BI77" s="96" t="str">
        <f t="shared" si="30"/>
        <v/>
      </c>
      <c r="BJ77" s="96" t="str">
        <f t="shared" si="31"/>
        <v/>
      </c>
      <c r="BK77" s="96" t="str">
        <f t="shared" si="32"/>
        <v/>
      </c>
      <c r="BL77" s="96" t="str">
        <f t="shared" si="33"/>
        <v/>
      </c>
      <c r="BM77" s="96" t="str">
        <f t="shared" si="34"/>
        <v/>
      </c>
      <c r="BN77" s="96" t="str">
        <f t="shared" si="35"/>
        <v/>
      </c>
      <c r="BO77" s="96" t="str">
        <f t="shared" si="36"/>
        <v/>
      </c>
      <c r="BP77" s="96" t="str">
        <f t="shared" si="37"/>
        <v/>
      </c>
      <c r="BQ77" s="96" t="str">
        <f t="shared" si="38"/>
        <v/>
      </c>
      <c r="BR77" s="96" t="str">
        <f t="shared" si="39"/>
        <v/>
      </c>
      <c r="BS77" s="96" t="str">
        <f t="shared" si="40"/>
        <v/>
      </c>
      <c r="BT77" s="96" t="str">
        <f t="shared" si="41"/>
        <v/>
      </c>
      <c r="BU77" s="95" t="str">
        <f t="shared" si="42"/>
        <v/>
      </c>
      <c r="BV77" s="205" t="str">
        <f t="shared" si="50"/>
        <v/>
      </c>
      <c r="BW77" s="96" t="s">
        <v>146</v>
      </c>
      <c r="BX77" s="96">
        <f>BM64</f>
        <v>0</v>
      </c>
    </row>
    <row r="78" spans="1:76" s="26" customFormat="1" ht="15.75" x14ac:dyDescent="0.25">
      <c r="B78" s="298">
        <v>13</v>
      </c>
      <c r="C78" s="122" t="str">
        <f t="shared" si="12"/>
        <v/>
      </c>
      <c r="D78" s="229" t="str">
        <f t="shared" si="43"/>
        <v/>
      </c>
      <c r="E78" s="176" t="str">
        <f t="shared" si="13"/>
        <v/>
      </c>
      <c r="F78" s="632"/>
      <c r="G78" s="633"/>
      <c r="H78" s="172" t="str">
        <f t="shared" si="14"/>
        <v/>
      </c>
      <c r="I78" s="363" t="str">
        <f t="shared" si="44"/>
        <v/>
      </c>
      <c r="J78" s="857" t="str">
        <f>IF(F78="","",VLOOKUP(F78,'10. Condition and Temporal'!$B$6:$F$103,5,FALSE))</f>
        <v/>
      </c>
      <c r="K78" s="858"/>
      <c r="L78" s="498" t="str">
        <f t="shared" si="45"/>
        <v/>
      </c>
      <c r="M78" s="856" t="str">
        <f t="shared" si="46"/>
        <v/>
      </c>
      <c r="N78" s="856"/>
      <c r="O78" s="75"/>
      <c r="P78" s="12"/>
      <c r="R78" s="664"/>
      <c r="T78" s="196" t="str">
        <f t="shared" si="15"/>
        <v/>
      </c>
      <c r="U78" s="117" t="str">
        <f t="shared" si="47"/>
        <v/>
      </c>
      <c r="V78" s="118" t="str">
        <f t="shared" si="16"/>
        <v/>
      </c>
      <c r="W78" s="116" t="str">
        <f t="shared" si="16"/>
        <v/>
      </c>
      <c r="X78" s="94" t="str">
        <f t="shared" si="16"/>
        <v/>
      </c>
      <c r="Y78" s="392"/>
      <c r="Z78" s="392"/>
      <c r="AA78" s="392"/>
      <c r="AB78" s="95" t="str">
        <f t="shared" si="17"/>
        <v/>
      </c>
      <c r="AC78" s="120" t="str">
        <f t="shared" si="18"/>
        <v/>
      </c>
      <c r="AD78" s="118" t="str">
        <f t="shared" si="48"/>
        <v/>
      </c>
      <c r="AE78" s="198" t="str">
        <f t="shared" si="49"/>
        <v/>
      </c>
      <c r="AF78" s="116" t="str">
        <f t="shared" si="19"/>
        <v/>
      </c>
      <c r="AG78" s="117" t="str">
        <f>IF(D78="","",VLOOKUP(F78,'9. All Habitats + Multipliers'!$C$4:$K$102,5,FALSE))</f>
        <v/>
      </c>
      <c r="AH78" s="118" t="str">
        <f>IF(AG78="","",VLOOKUP(AG78,'11. Lists'!$B$47:$D$49,2,FALSE))</f>
        <v/>
      </c>
      <c r="AI78" s="117" t="str">
        <f t="shared" si="20"/>
        <v/>
      </c>
      <c r="AJ78" s="96" t="str">
        <f>IF(AI78="","",VLOOKUP(AI78,'11. Lists'!$F$47:$G$51,2,FALSE))</f>
        <v/>
      </c>
      <c r="AK78" s="392"/>
      <c r="AL78" s="392"/>
      <c r="AM78" s="392"/>
      <c r="AN78" s="96" t="str">
        <f t="shared" si="21"/>
        <v/>
      </c>
      <c r="AO78" s="119" t="str">
        <f>IF(AN78="","",VLOOKUP(AN78,'11. Lists'!$F$36:$H$38,2,FALSE))</f>
        <v/>
      </c>
      <c r="AP78" s="118" t="str">
        <f>IF(AN78="","",VLOOKUP(AN78,'11. Lists'!$F$36:$H$38,3,FALSE))</f>
        <v/>
      </c>
      <c r="AQ78" s="117" t="str">
        <f>IF(D78="","",VLOOKUP(F78,'10. Condition and Temporal'!$B$6:$L$103,11,FALSE))</f>
        <v/>
      </c>
      <c r="AR78" s="121" t="str">
        <f>IF(AQ78="","",VLOOKUP(AQ78,'11. Lists'!$I$47:$K$80,3,FALSE))</f>
        <v/>
      </c>
      <c r="AS78" s="137" t="str">
        <f>IF(D78="","",VLOOKUP(F78,'10. Condition and Temporal'!$B$6:$M$106,12,FALSE))</f>
        <v/>
      </c>
      <c r="AT78" s="121" t="str">
        <f>IF(AS78="","",VLOOKUP(AS78,'11. Lists'!$I$47:$K$80,3,FALSE))</f>
        <v/>
      </c>
      <c r="AU78" s="120" t="str">
        <f>IF(D78="","",VLOOKUP(F78,'9. All Habitats + Multipliers'!$C$4:$K$102,8,FALSE))</f>
        <v/>
      </c>
      <c r="AV78" s="118" t="str">
        <f>IF(AU78="","",VLOOKUP(AU78,'11. Lists'!$J$35:$K$38,2,FALSE))</f>
        <v/>
      </c>
      <c r="AW78" s="117" t="str">
        <f>IF(D78="","",VLOOKUP(D78,'10. Condition and Temporal'!$B$6:$M$103,4,FALSE))</f>
        <v/>
      </c>
      <c r="AX78" s="118" t="str">
        <f t="shared" si="22"/>
        <v/>
      </c>
      <c r="AZ78" s="227"/>
      <c r="BA78" s="94">
        <v>13</v>
      </c>
      <c r="BB78" s="96" t="str">
        <f t="shared" si="23"/>
        <v/>
      </c>
      <c r="BC78" s="96" t="str">
        <f t="shared" si="24"/>
        <v/>
      </c>
      <c r="BD78" s="96" t="str">
        <f t="shared" si="25"/>
        <v/>
      </c>
      <c r="BE78" s="96" t="str">
        <f t="shared" si="26"/>
        <v/>
      </c>
      <c r="BF78" s="96" t="str">
        <f t="shared" si="27"/>
        <v/>
      </c>
      <c r="BG78" s="96" t="str">
        <f t="shared" si="28"/>
        <v/>
      </c>
      <c r="BH78" s="96" t="str">
        <f t="shared" si="29"/>
        <v/>
      </c>
      <c r="BI78" s="96" t="str">
        <f t="shared" si="30"/>
        <v/>
      </c>
      <c r="BJ78" s="96" t="str">
        <f t="shared" si="31"/>
        <v/>
      </c>
      <c r="BK78" s="96" t="str">
        <f t="shared" si="32"/>
        <v/>
      </c>
      <c r="BL78" s="96" t="str">
        <f t="shared" si="33"/>
        <v/>
      </c>
      <c r="BM78" s="96" t="str">
        <f t="shared" si="34"/>
        <v/>
      </c>
      <c r="BN78" s="96" t="str">
        <f t="shared" si="35"/>
        <v/>
      </c>
      <c r="BO78" s="96" t="str">
        <f t="shared" si="36"/>
        <v/>
      </c>
      <c r="BP78" s="96" t="str">
        <f t="shared" si="37"/>
        <v/>
      </c>
      <c r="BQ78" s="96" t="str">
        <f t="shared" si="38"/>
        <v/>
      </c>
      <c r="BR78" s="96" t="str">
        <f t="shared" si="39"/>
        <v/>
      </c>
      <c r="BS78" s="96" t="str">
        <f t="shared" si="40"/>
        <v/>
      </c>
      <c r="BT78" s="96" t="str">
        <f t="shared" si="41"/>
        <v/>
      </c>
      <c r="BU78" s="95" t="str">
        <f t="shared" si="42"/>
        <v/>
      </c>
      <c r="BV78" s="205" t="str">
        <f t="shared" si="50"/>
        <v/>
      </c>
      <c r="BW78" s="96" t="s">
        <v>147</v>
      </c>
      <c r="BX78" s="96">
        <f>BN64</f>
        <v>0</v>
      </c>
    </row>
    <row r="79" spans="1:76" s="26" customFormat="1" ht="15.75" x14ac:dyDescent="0.25">
      <c r="B79" s="298">
        <v>14</v>
      </c>
      <c r="C79" s="122" t="str">
        <f t="shared" si="12"/>
        <v/>
      </c>
      <c r="D79" s="229" t="str">
        <f t="shared" si="43"/>
        <v/>
      </c>
      <c r="E79" s="176" t="str">
        <f t="shared" si="13"/>
        <v/>
      </c>
      <c r="F79" s="632"/>
      <c r="G79" s="633"/>
      <c r="H79" s="172" t="str">
        <f t="shared" si="14"/>
        <v/>
      </c>
      <c r="I79" s="363" t="str">
        <f t="shared" si="44"/>
        <v/>
      </c>
      <c r="J79" s="857" t="str">
        <f>IF(F79="","",VLOOKUP(F79,'10. Condition and Temporal'!$B$6:$F$103,5,FALSE))</f>
        <v/>
      </c>
      <c r="K79" s="858"/>
      <c r="L79" s="498" t="str">
        <f t="shared" si="45"/>
        <v/>
      </c>
      <c r="M79" s="856" t="str">
        <f t="shared" si="46"/>
        <v/>
      </c>
      <c r="N79" s="856"/>
      <c r="O79" s="75"/>
      <c r="P79" s="12"/>
      <c r="R79" s="664"/>
      <c r="T79" s="196" t="str">
        <f t="shared" si="15"/>
        <v/>
      </c>
      <c r="U79" s="117" t="str">
        <f t="shared" si="47"/>
        <v/>
      </c>
      <c r="V79" s="118" t="str">
        <f t="shared" si="16"/>
        <v/>
      </c>
      <c r="W79" s="116" t="str">
        <f t="shared" si="16"/>
        <v/>
      </c>
      <c r="X79" s="94" t="str">
        <f t="shared" si="16"/>
        <v/>
      </c>
      <c r="Y79" s="392"/>
      <c r="Z79" s="392"/>
      <c r="AA79" s="392"/>
      <c r="AB79" s="95" t="str">
        <f t="shared" si="17"/>
        <v/>
      </c>
      <c r="AC79" s="120" t="str">
        <f t="shared" si="18"/>
        <v/>
      </c>
      <c r="AD79" s="118" t="str">
        <f t="shared" si="48"/>
        <v/>
      </c>
      <c r="AE79" s="198" t="str">
        <f t="shared" si="49"/>
        <v/>
      </c>
      <c r="AF79" s="116" t="str">
        <f t="shared" si="19"/>
        <v/>
      </c>
      <c r="AG79" s="117" t="str">
        <f>IF(D79="","",VLOOKUP(F79,'9. All Habitats + Multipliers'!$C$4:$K$102,5,FALSE))</f>
        <v/>
      </c>
      <c r="AH79" s="118" t="str">
        <f>IF(AG79="","",VLOOKUP(AG79,'11. Lists'!$B$47:$D$49,2,FALSE))</f>
        <v/>
      </c>
      <c r="AI79" s="117" t="str">
        <f t="shared" si="20"/>
        <v/>
      </c>
      <c r="AJ79" s="96" t="str">
        <f>IF(AI79="","",VLOOKUP(AI79,'11. Lists'!$F$47:$G$51,2,FALSE))</f>
        <v/>
      </c>
      <c r="AK79" s="392"/>
      <c r="AL79" s="392"/>
      <c r="AM79" s="392"/>
      <c r="AN79" s="96" t="str">
        <f t="shared" si="21"/>
        <v/>
      </c>
      <c r="AO79" s="119" t="str">
        <f>IF(AN79="","",VLOOKUP(AN79,'11. Lists'!$F$36:$H$38,2,FALSE))</f>
        <v/>
      </c>
      <c r="AP79" s="118" t="str">
        <f>IF(AN79="","",VLOOKUP(AN79,'11. Lists'!$F$36:$H$38,3,FALSE))</f>
        <v/>
      </c>
      <c r="AQ79" s="117" t="str">
        <f>IF(D79="","",VLOOKUP(F79,'10. Condition and Temporal'!$B$6:$L$103,11,FALSE))</f>
        <v/>
      </c>
      <c r="AR79" s="121" t="str">
        <f>IF(AQ79="","",VLOOKUP(AQ79,'11. Lists'!$I$47:$K$80,3,FALSE))</f>
        <v/>
      </c>
      <c r="AS79" s="137" t="str">
        <f>IF(D79="","",VLOOKUP(F79,'10. Condition and Temporal'!$B$6:$M$106,12,FALSE))</f>
        <v/>
      </c>
      <c r="AT79" s="121" t="str">
        <f>IF(AS79="","",VLOOKUP(AS79,'11. Lists'!$I$47:$K$80,3,FALSE))</f>
        <v/>
      </c>
      <c r="AU79" s="120" t="str">
        <f>IF(D79="","",VLOOKUP(F79,'9. All Habitats + Multipliers'!$C$4:$K$102,8,FALSE))</f>
        <v/>
      </c>
      <c r="AV79" s="118" t="str">
        <f>IF(AU79="","",VLOOKUP(AU79,'11. Lists'!$J$35:$K$38,2,FALSE))</f>
        <v/>
      </c>
      <c r="AW79" s="117" t="str">
        <f>IF(D79="","",VLOOKUP(D79,'10. Condition and Temporal'!$B$6:$M$103,4,FALSE))</f>
        <v/>
      </c>
      <c r="AX79" s="118" t="str">
        <f t="shared" si="22"/>
        <v/>
      </c>
      <c r="AZ79" s="227"/>
      <c r="BA79" s="94">
        <v>14</v>
      </c>
      <c r="BB79" s="96" t="str">
        <f t="shared" si="23"/>
        <v/>
      </c>
      <c r="BC79" s="96" t="str">
        <f t="shared" si="24"/>
        <v/>
      </c>
      <c r="BD79" s="96" t="str">
        <f t="shared" si="25"/>
        <v/>
      </c>
      <c r="BE79" s="96" t="str">
        <f t="shared" si="26"/>
        <v/>
      </c>
      <c r="BF79" s="96" t="str">
        <f t="shared" si="27"/>
        <v/>
      </c>
      <c r="BG79" s="96" t="str">
        <f t="shared" si="28"/>
        <v/>
      </c>
      <c r="BH79" s="96" t="str">
        <f t="shared" si="29"/>
        <v/>
      </c>
      <c r="BI79" s="96" t="str">
        <f t="shared" si="30"/>
        <v/>
      </c>
      <c r="BJ79" s="96" t="str">
        <f t="shared" si="31"/>
        <v/>
      </c>
      <c r="BK79" s="96" t="str">
        <f t="shared" si="32"/>
        <v/>
      </c>
      <c r="BL79" s="96" t="str">
        <f t="shared" si="33"/>
        <v/>
      </c>
      <c r="BM79" s="96" t="str">
        <f t="shared" si="34"/>
        <v/>
      </c>
      <c r="BN79" s="96" t="str">
        <f t="shared" si="35"/>
        <v/>
      </c>
      <c r="BO79" s="96" t="str">
        <f t="shared" si="36"/>
        <v/>
      </c>
      <c r="BP79" s="96" t="str">
        <f t="shared" si="37"/>
        <v/>
      </c>
      <c r="BQ79" s="96" t="str">
        <f t="shared" si="38"/>
        <v/>
      </c>
      <c r="BR79" s="96" t="str">
        <f t="shared" si="39"/>
        <v/>
      </c>
      <c r="BS79" s="96" t="str">
        <f t="shared" si="40"/>
        <v/>
      </c>
      <c r="BT79" s="96" t="str">
        <f t="shared" si="41"/>
        <v/>
      </c>
      <c r="BU79" s="95" t="str">
        <f t="shared" si="42"/>
        <v/>
      </c>
      <c r="BV79" s="205" t="str">
        <f t="shared" si="50"/>
        <v/>
      </c>
      <c r="BW79" s="96" t="s">
        <v>148</v>
      </c>
      <c r="BX79" s="96">
        <f>BO64</f>
        <v>0</v>
      </c>
    </row>
    <row r="80" spans="1:76" s="26" customFormat="1" ht="15.75" x14ac:dyDescent="0.25">
      <c r="B80" s="298">
        <v>15</v>
      </c>
      <c r="C80" s="122" t="str">
        <f t="shared" si="12"/>
        <v/>
      </c>
      <c r="D80" s="229" t="str">
        <f t="shared" si="43"/>
        <v/>
      </c>
      <c r="E80" s="176" t="str">
        <f t="shared" si="13"/>
        <v/>
      </c>
      <c r="F80" s="632"/>
      <c r="G80" s="633"/>
      <c r="H80" s="172" t="str">
        <f t="shared" si="14"/>
        <v/>
      </c>
      <c r="I80" s="363" t="str">
        <f t="shared" si="44"/>
        <v/>
      </c>
      <c r="J80" s="857" t="str">
        <f>IF(F80="","",VLOOKUP(F80,'10. Condition and Temporal'!$B$6:$F$103,5,FALSE))</f>
        <v/>
      </c>
      <c r="K80" s="858"/>
      <c r="L80" s="498" t="str">
        <f t="shared" si="45"/>
        <v/>
      </c>
      <c r="M80" s="856" t="str">
        <f t="shared" si="46"/>
        <v/>
      </c>
      <c r="N80" s="856"/>
      <c r="O80" s="75"/>
      <c r="P80" s="12"/>
      <c r="R80" s="664"/>
      <c r="T80" s="196" t="str">
        <f t="shared" si="15"/>
        <v/>
      </c>
      <c r="U80" s="117" t="str">
        <f t="shared" si="47"/>
        <v/>
      </c>
      <c r="V80" s="118" t="str">
        <f t="shared" si="16"/>
        <v/>
      </c>
      <c r="W80" s="116" t="str">
        <f t="shared" si="16"/>
        <v/>
      </c>
      <c r="X80" s="94" t="str">
        <f t="shared" si="16"/>
        <v/>
      </c>
      <c r="Y80" s="392"/>
      <c r="Z80" s="392"/>
      <c r="AA80" s="392"/>
      <c r="AB80" s="95" t="str">
        <f t="shared" si="17"/>
        <v/>
      </c>
      <c r="AC80" s="120" t="str">
        <f t="shared" si="18"/>
        <v/>
      </c>
      <c r="AD80" s="118" t="str">
        <f t="shared" si="48"/>
        <v/>
      </c>
      <c r="AE80" s="198" t="str">
        <f t="shared" si="49"/>
        <v/>
      </c>
      <c r="AF80" s="116" t="str">
        <f t="shared" si="19"/>
        <v/>
      </c>
      <c r="AG80" s="117" t="str">
        <f>IF(D80="","",VLOOKUP(F80,'9. All Habitats + Multipliers'!$C$4:$K$102,5,FALSE))</f>
        <v/>
      </c>
      <c r="AH80" s="118" t="str">
        <f>IF(AG80="","",VLOOKUP(AG80,'11. Lists'!$B$47:$D$49,2,FALSE))</f>
        <v/>
      </c>
      <c r="AI80" s="117" t="str">
        <f t="shared" si="20"/>
        <v/>
      </c>
      <c r="AJ80" s="96" t="str">
        <f>IF(AI80="","",VLOOKUP(AI80,'11. Lists'!$F$47:$G$51,2,FALSE))</f>
        <v/>
      </c>
      <c r="AK80" s="392"/>
      <c r="AL80" s="392"/>
      <c r="AM80" s="392"/>
      <c r="AN80" s="96" t="str">
        <f t="shared" si="21"/>
        <v/>
      </c>
      <c r="AO80" s="119" t="str">
        <f>IF(AN80="","",VLOOKUP(AN80,'11. Lists'!$F$36:$H$38,2,FALSE))</f>
        <v/>
      </c>
      <c r="AP80" s="118" t="str">
        <f>IF(AN80="","",VLOOKUP(AN80,'11. Lists'!$F$36:$H$38,3,FALSE))</f>
        <v/>
      </c>
      <c r="AQ80" s="117" t="str">
        <f>IF(D80="","",VLOOKUP(F80,'10. Condition and Temporal'!$B$6:$L$103,11,FALSE))</f>
        <v/>
      </c>
      <c r="AR80" s="121" t="str">
        <f>IF(AQ80="","",VLOOKUP(AQ80,'11. Lists'!$I$47:$K$80,3,FALSE))</f>
        <v/>
      </c>
      <c r="AS80" s="137" t="str">
        <f>IF(D80="","",VLOOKUP(F80,'10. Condition and Temporal'!$B$6:$M$106,12,FALSE))</f>
        <v/>
      </c>
      <c r="AT80" s="121" t="str">
        <f>IF(AS80="","",VLOOKUP(AS80,'11. Lists'!$I$47:$K$80,3,FALSE))</f>
        <v/>
      </c>
      <c r="AU80" s="120" t="str">
        <f>IF(D80="","",VLOOKUP(F80,'9. All Habitats + Multipliers'!$C$4:$K$102,8,FALSE))</f>
        <v/>
      </c>
      <c r="AV80" s="118" t="str">
        <f>IF(AU80="","",VLOOKUP(AU80,'11. Lists'!$J$35:$K$38,2,FALSE))</f>
        <v/>
      </c>
      <c r="AW80" s="117" t="str">
        <f>IF(D80="","",VLOOKUP(D80,'10. Condition and Temporal'!$B$6:$M$103,4,FALSE))</f>
        <v/>
      </c>
      <c r="AX80" s="118" t="str">
        <f t="shared" si="22"/>
        <v/>
      </c>
      <c r="AZ80" s="227"/>
      <c r="BA80" s="94">
        <v>15</v>
      </c>
      <c r="BB80" s="96" t="str">
        <f t="shared" si="23"/>
        <v/>
      </c>
      <c r="BC80" s="96" t="str">
        <f t="shared" si="24"/>
        <v/>
      </c>
      <c r="BD80" s="96" t="str">
        <f t="shared" si="25"/>
        <v/>
      </c>
      <c r="BE80" s="96" t="str">
        <f t="shared" si="26"/>
        <v/>
      </c>
      <c r="BF80" s="96" t="str">
        <f t="shared" si="27"/>
        <v/>
      </c>
      <c r="BG80" s="96" t="str">
        <f t="shared" si="28"/>
        <v/>
      </c>
      <c r="BH80" s="96" t="str">
        <f t="shared" si="29"/>
        <v/>
      </c>
      <c r="BI80" s="96" t="str">
        <f t="shared" si="30"/>
        <v/>
      </c>
      <c r="BJ80" s="96" t="str">
        <f t="shared" si="31"/>
        <v/>
      </c>
      <c r="BK80" s="96" t="str">
        <f t="shared" si="32"/>
        <v/>
      </c>
      <c r="BL80" s="96" t="str">
        <f t="shared" si="33"/>
        <v/>
      </c>
      <c r="BM80" s="96" t="str">
        <f t="shared" si="34"/>
        <v/>
      </c>
      <c r="BN80" s="96" t="str">
        <f t="shared" si="35"/>
        <v/>
      </c>
      <c r="BO80" s="96" t="str">
        <f t="shared" si="36"/>
        <v/>
      </c>
      <c r="BP80" s="96" t="str">
        <f t="shared" si="37"/>
        <v/>
      </c>
      <c r="BQ80" s="96" t="str">
        <f t="shared" si="38"/>
        <v/>
      </c>
      <c r="BR80" s="96" t="str">
        <f t="shared" si="39"/>
        <v/>
      </c>
      <c r="BS80" s="96" t="str">
        <f t="shared" si="40"/>
        <v/>
      </c>
      <c r="BT80" s="96" t="str">
        <f t="shared" si="41"/>
        <v/>
      </c>
      <c r="BU80" s="95" t="str">
        <f t="shared" si="42"/>
        <v/>
      </c>
      <c r="BV80" s="205" t="str">
        <f t="shared" si="50"/>
        <v/>
      </c>
      <c r="BW80" s="96" t="s">
        <v>149</v>
      </c>
      <c r="BX80" s="96">
        <f>BP64</f>
        <v>0</v>
      </c>
    </row>
    <row r="81" spans="1:76" s="26" customFormat="1" ht="15.75" x14ac:dyDescent="0.25">
      <c r="B81" s="298">
        <v>16</v>
      </c>
      <c r="C81" s="122" t="str">
        <f t="shared" si="12"/>
        <v/>
      </c>
      <c r="D81" s="229" t="str">
        <f t="shared" si="43"/>
        <v/>
      </c>
      <c r="E81" s="176" t="str">
        <f t="shared" si="13"/>
        <v/>
      </c>
      <c r="F81" s="632"/>
      <c r="G81" s="633"/>
      <c r="H81" s="172" t="str">
        <f t="shared" si="14"/>
        <v/>
      </c>
      <c r="I81" s="363" t="str">
        <f t="shared" si="44"/>
        <v/>
      </c>
      <c r="J81" s="857" t="str">
        <f>IF(F81="","",VLOOKUP(F81,'10. Condition and Temporal'!$B$6:$F$103,5,FALSE))</f>
        <v/>
      </c>
      <c r="K81" s="858"/>
      <c r="L81" s="498" t="str">
        <f t="shared" si="45"/>
        <v/>
      </c>
      <c r="M81" s="856" t="str">
        <f t="shared" si="46"/>
        <v/>
      </c>
      <c r="N81" s="856"/>
      <c r="O81" s="75"/>
      <c r="P81" s="12"/>
      <c r="R81" s="664"/>
      <c r="T81" s="196" t="str">
        <f t="shared" si="15"/>
        <v/>
      </c>
      <c r="U81" s="117" t="str">
        <f t="shared" si="47"/>
        <v/>
      </c>
      <c r="V81" s="118" t="str">
        <f t="shared" si="16"/>
        <v/>
      </c>
      <c r="W81" s="116" t="str">
        <f t="shared" si="16"/>
        <v/>
      </c>
      <c r="X81" s="94" t="str">
        <f t="shared" si="16"/>
        <v/>
      </c>
      <c r="Y81" s="392"/>
      <c r="Z81" s="392"/>
      <c r="AA81" s="392"/>
      <c r="AB81" s="95" t="str">
        <f t="shared" si="17"/>
        <v/>
      </c>
      <c r="AC81" s="120" t="str">
        <f t="shared" si="18"/>
        <v/>
      </c>
      <c r="AD81" s="118" t="str">
        <f t="shared" si="48"/>
        <v/>
      </c>
      <c r="AE81" s="198" t="str">
        <f t="shared" si="49"/>
        <v/>
      </c>
      <c r="AF81" s="116" t="str">
        <f t="shared" si="19"/>
        <v/>
      </c>
      <c r="AG81" s="117" t="str">
        <f>IF(D81="","",VLOOKUP(F81,'9. All Habitats + Multipliers'!$C$4:$K$102,5,FALSE))</f>
        <v/>
      </c>
      <c r="AH81" s="118" t="str">
        <f>IF(AG81="","",VLOOKUP(AG81,'11. Lists'!$B$47:$D$49,2,FALSE))</f>
        <v/>
      </c>
      <c r="AI81" s="117" t="str">
        <f t="shared" si="20"/>
        <v/>
      </c>
      <c r="AJ81" s="96" t="str">
        <f>IF(AI81="","",VLOOKUP(AI81,'11. Lists'!$F$47:$G$51,2,FALSE))</f>
        <v/>
      </c>
      <c r="AK81" s="392"/>
      <c r="AL81" s="392"/>
      <c r="AM81" s="392"/>
      <c r="AN81" s="96" t="str">
        <f t="shared" si="21"/>
        <v/>
      </c>
      <c r="AO81" s="119" t="str">
        <f>IF(AN81="","",VLOOKUP(AN81,'11. Lists'!$F$36:$H$38,2,FALSE))</f>
        <v/>
      </c>
      <c r="AP81" s="118" t="str">
        <f>IF(AN81="","",VLOOKUP(AN81,'11. Lists'!$F$36:$H$38,3,FALSE))</f>
        <v/>
      </c>
      <c r="AQ81" s="117" t="str">
        <f>IF(D81="","",VLOOKUP(F81,'10. Condition and Temporal'!$B$6:$L$103,11,FALSE))</f>
        <v/>
      </c>
      <c r="AR81" s="121" t="str">
        <f>IF(AQ81="","",VLOOKUP(AQ81,'11. Lists'!$I$47:$K$80,3,FALSE))</f>
        <v/>
      </c>
      <c r="AS81" s="137" t="str">
        <f>IF(D81="","",VLOOKUP(F81,'10. Condition and Temporal'!$B$6:$M$106,12,FALSE))</f>
        <v/>
      </c>
      <c r="AT81" s="121" t="str">
        <f>IF(AS81="","",VLOOKUP(AS81,'11. Lists'!$I$47:$K$80,3,FALSE))</f>
        <v/>
      </c>
      <c r="AU81" s="120" t="str">
        <f>IF(D81="","",VLOOKUP(F81,'9. All Habitats + Multipliers'!$C$4:$K$102,8,FALSE))</f>
        <v/>
      </c>
      <c r="AV81" s="118" t="str">
        <f>IF(AU81="","",VLOOKUP(AU81,'11. Lists'!$J$35:$K$38,2,FALSE))</f>
        <v/>
      </c>
      <c r="AW81" s="117" t="str">
        <f>IF(D81="","",VLOOKUP(D81,'10. Condition and Temporal'!$B$6:$M$103,4,FALSE))</f>
        <v/>
      </c>
      <c r="AX81" s="118" t="str">
        <f t="shared" si="22"/>
        <v/>
      </c>
      <c r="AZ81" s="227"/>
      <c r="BA81" s="94">
        <v>16</v>
      </c>
      <c r="BB81" s="96" t="str">
        <f t="shared" si="23"/>
        <v/>
      </c>
      <c r="BC81" s="96" t="str">
        <f t="shared" si="24"/>
        <v/>
      </c>
      <c r="BD81" s="96" t="str">
        <f t="shared" si="25"/>
        <v/>
      </c>
      <c r="BE81" s="96" t="str">
        <f t="shared" si="26"/>
        <v/>
      </c>
      <c r="BF81" s="96" t="str">
        <f t="shared" si="27"/>
        <v/>
      </c>
      <c r="BG81" s="96" t="str">
        <f t="shared" si="28"/>
        <v/>
      </c>
      <c r="BH81" s="96" t="str">
        <f t="shared" si="29"/>
        <v/>
      </c>
      <c r="BI81" s="96" t="str">
        <f t="shared" si="30"/>
        <v/>
      </c>
      <c r="BJ81" s="96" t="str">
        <f t="shared" si="31"/>
        <v/>
      </c>
      <c r="BK81" s="96" t="str">
        <f t="shared" si="32"/>
        <v/>
      </c>
      <c r="BL81" s="96" t="str">
        <f t="shared" si="33"/>
        <v/>
      </c>
      <c r="BM81" s="96" t="str">
        <f t="shared" si="34"/>
        <v/>
      </c>
      <c r="BN81" s="96" t="str">
        <f t="shared" si="35"/>
        <v/>
      </c>
      <c r="BO81" s="96" t="str">
        <f t="shared" si="36"/>
        <v/>
      </c>
      <c r="BP81" s="96" t="str">
        <f t="shared" si="37"/>
        <v/>
      </c>
      <c r="BQ81" s="96" t="str">
        <f t="shared" si="38"/>
        <v/>
      </c>
      <c r="BR81" s="96" t="str">
        <f t="shared" si="39"/>
        <v/>
      </c>
      <c r="BS81" s="96" t="str">
        <f t="shared" si="40"/>
        <v/>
      </c>
      <c r="BT81" s="96" t="str">
        <f t="shared" si="41"/>
        <v/>
      </c>
      <c r="BU81" s="95" t="str">
        <f t="shared" si="42"/>
        <v/>
      </c>
      <c r="BV81" s="205" t="str">
        <f t="shared" si="50"/>
        <v/>
      </c>
      <c r="BW81" s="96" t="s">
        <v>150</v>
      </c>
      <c r="BX81" s="96">
        <f>BQ64</f>
        <v>0</v>
      </c>
    </row>
    <row r="82" spans="1:76" s="26" customFormat="1" ht="15.75" x14ac:dyDescent="0.25">
      <c r="B82" s="298">
        <v>17</v>
      </c>
      <c r="C82" s="122" t="str">
        <f t="shared" si="12"/>
        <v/>
      </c>
      <c r="D82" s="229" t="str">
        <f t="shared" si="43"/>
        <v/>
      </c>
      <c r="E82" s="176" t="str">
        <f t="shared" si="13"/>
        <v/>
      </c>
      <c r="F82" s="632"/>
      <c r="G82" s="633"/>
      <c r="H82" s="172" t="str">
        <f t="shared" si="14"/>
        <v/>
      </c>
      <c r="I82" s="363" t="str">
        <f t="shared" si="44"/>
        <v/>
      </c>
      <c r="J82" s="857" t="str">
        <f>IF(F82="","",VLOOKUP(F82,'10. Condition and Temporal'!$B$6:$F$103,5,FALSE))</f>
        <v/>
      </c>
      <c r="K82" s="858"/>
      <c r="L82" s="498" t="str">
        <f t="shared" si="45"/>
        <v/>
      </c>
      <c r="M82" s="856" t="str">
        <f t="shared" si="46"/>
        <v/>
      </c>
      <c r="N82" s="856"/>
      <c r="O82" s="75"/>
      <c r="P82" s="12"/>
      <c r="R82" s="664"/>
      <c r="T82" s="196" t="str">
        <f t="shared" si="15"/>
        <v/>
      </c>
      <c r="U82" s="117" t="str">
        <f t="shared" si="47"/>
        <v/>
      </c>
      <c r="V82" s="118" t="str">
        <f t="shared" si="16"/>
        <v/>
      </c>
      <c r="W82" s="116" t="str">
        <f t="shared" si="16"/>
        <v/>
      </c>
      <c r="X82" s="94" t="str">
        <f t="shared" si="16"/>
        <v/>
      </c>
      <c r="Y82" s="392"/>
      <c r="Z82" s="392"/>
      <c r="AA82" s="392"/>
      <c r="AB82" s="95" t="str">
        <f t="shared" si="17"/>
        <v/>
      </c>
      <c r="AC82" s="120" t="str">
        <f t="shared" si="18"/>
        <v/>
      </c>
      <c r="AD82" s="118" t="str">
        <f t="shared" si="48"/>
        <v/>
      </c>
      <c r="AE82" s="198" t="str">
        <f t="shared" si="49"/>
        <v/>
      </c>
      <c r="AF82" s="116" t="str">
        <f t="shared" si="19"/>
        <v/>
      </c>
      <c r="AG82" s="117" t="str">
        <f>IF(D82="","",VLOOKUP(F82,'9. All Habitats + Multipliers'!$C$4:$K$102,5,FALSE))</f>
        <v/>
      </c>
      <c r="AH82" s="118" t="str">
        <f>IF(AG82="","",VLOOKUP(AG82,'11. Lists'!$B$47:$D$49,2,FALSE))</f>
        <v/>
      </c>
      <c r="AI82" s="117" t="str">
        <f t="shared" si="20"/>
        <v/>
      </c>
      <c r="AJ82" s="96" t="str">
        <f>IF(AI82="","",VLOOKUP(AI82,'11. Lists'!$F$47:$G$51,2,FALSE))</f>
        <v/>
      </c>
      <c r="AK82" s="392"/>
      <c r="AL82" s="392"/>
      <c r="AM82" s="392"/>
      <c r="AN82" s="96" t="str">
        <f t="shared" si="21"/>
        <v/>
      </c>
      <c r="AO82" s="119" t="str">
        <f>IF(AN82="","",VLOOKUP(AN82,'11. Lists'!$F$36:$H$38,2,FALSE))</f>
        <v/>
      </c>
      <c r="AP82" s="118" t="str">
        <f>IF(AN82="","",VLOOKUP(AN82,'11. Lists'!$F$36:$H$38,3,FALSE))</f>
        <v/>
      </c>
      <c r="AQ82" s="117" t="str">
        <f>IF(D82="","",VLOOKUP(F82,'10. Condition and Temporal'!$B$6:$L$103,11,FALSE))</f>
        <v/>
      </c>
      <c r="AR82" s="121" t="str">
        <f>IF(AQ82="","",VLOOKUP(AQ82,'11. Lists'!$I$47:$K$80,3,FALSE))</f>
        <v/>
      </c>
      <c r="AS82" s="137" t="str">
        <f>IF(D82="","",VLOOKUP(F82,'10. Condition and Temporal'!$B$6:$M$106,12,FALSE))</f>
        <v/>
      </c>
      <c r="AT82" s="121" t="str">
        <f>IF(AS82="","",VLOOKUP(AS82,'11. Lists'!$I$47:$K$80,3,FALSE))</f>
        <v/>
      </c>
      <c r="AU82" s="120" t="str">
        <f>IF(D82="","",VLOOKUP(F82,'9. All Habitats + Multipliers'!$C$4:$K$102,8,FALSE))</f>
        <v/>
      </c>
      <c r="AV82" s="118" t="str">
        <f>IF(AU82="","",VLOOKUP(AU82,'11. Lists'!$J$35:$K$38,2,FALSE))</f>
        <v/>
      </c>
      <c r="AW82" s="117" t="str">
        <f>IF(D82="","",VLOOKUP(D82,'10. Condition and Temporal'!$B$6:$M$103,4,FALSE))</f>
        <v/>
      </c>
      <c r="AX82" s="118" t="str">
        <f t="shared" si="22"/>
        <v/>
      </c>
      <c r="AZ82" s="227"/>
      <c r="BA82" s="94">
        <v>17</v>
      </c>
      <c r="BB82" s="96" t="str">
        <f t="shared" si="23"/>
        <v/>
      </c>
      <c r="BC82" s="96" t="str">
        <f t="shared" si="24"/>
        <v/>
      </c>
      <c r="BD82" s="96" t="str">
        <f t="shared" si="25"/>
        <v/>
      </c>
      <c r="BE82" s="96" t="str">
        <f t="shared" si="26"/>
        <v/>
      </c>
      <c r="BF82" s="96" t="str">
        <f t="shared" si="27"/>
        <v/>
      </c>
      <c r="BG82" s="96" t="str">
        <f t="shared" si="28"/>
        <v/>
      </c>
      <c r="BH82" s="96" t="str">
        <f t="shared" si="29"/>
        <v/>
      </c>
      <c r="BI82" s="96" t="str">
        <f t="shared" si="30"/>
        <v/>
      </c>
      <c r="BJ82" s="96" t="str">
        <f t="shared" si="31"/>
        <v/>
      </c>
      <c r="BK82" s="96" t="str">
        <f t="shared" si="32"/>
        <v/>
      </c>
      <c r="BL82" s="96" t="str">
        <f t="shared" si="33"/>
        <v/>
      </c>
      <c r="BM82" s="96" t="str">
        <f t="shared" si="34"/>
        <v/>
      </c>
      <c r="BN82" s="96" t="str">
        <f t="shared" si="35"/>
        <v/>
      </c>
      <c r="BO82" s="96" t="str">
        <f t="shared" si="36"/>
        <v/>
      </c>
      <c r="BP82" s="96" t="str">
        <f t="shared" si="37"/>
        <v/>
      </c>
      <c r="BQ82" s="96" t="str">
        <f t="shared" si="38"/>
        <v/>
      </c>
      <c r="BR82" s="96" t="str">
        <f t="shared" si="39"/>
        <v/>
      </c>
      <c r="BS82" s="96" t="str">
        <f t="shared" si="40"/>
        <v/>
      </c>
      <c r="BT82" s="96" t="str">
        <f t="shared" si="41"/>
        <v/>
      </c>
      <c r="BU82" s="95" t="str">
        <f t="shared" si="42"/>
        <v/>
      </c>
      <c r="BV82" s="205" t="str">
        <f t="shared" si="50"/>
        <v/>
      </c>
      <c r="BW82" s="96" t="s">
        <v>151</v>
      </c>
      <c r="BX82" s="96">
        <f>BR64</f>
        <v>0</v>
      </c>
    </row>
    <row r="83" spans="1:76" s="26" customFormat="1" ht="15.75" x14ac:dyDescent="0.25">
      <c r="B83" s="298">
        <v>18</v>
      </c>
      <c r="C83" s="122" t="str">
        <f t="shared" si="12"/>
        <v/>
      </c>
      <c r="D83" s="229" t="str">
        <f t="shared" si="43"/>
        <v/>
      </c>
      <c r="E83" s="176" t="str">
        <f t="shared" si="13"/>
        <v/>
      </c>
      <c r="F83" s="632"/>
      <c r="G83" s="633"/>
      <c r="H83" s="172" t="str">
        <f t="shared" si="14"/>
        <v/>
      </c>
      <c r="I83" s="363" t="str">
        <f t="shared" si="44"/>
        <v/>
      </c>
      <c r="J83" s="857" t="str">
        <f>IF(F83="","",VLOOKUP(F83,'10. Condition and Temporal'!$B$6:$F$103,5,FALSE))</f>
        <v/>
      </c>
      <c r="K83" s="858"/>
      <c r="L83" s="498" t="str">
        <f t="shared" si="45"/>
        <v/>
      </c>
      <c r="M83" s="856" t="str">
        <f t="shared" si="46"/>
        <v/>
      </c>
      <c r="N83" s="856"/>
      <c r="O83" s="75"/>
      <c r="P83" s="12"/>
      <c r="R83" s="664"/>
      <c r="T83" s="196" t="str">
        <f t="shared" si="15"/>
        <v/>
      </c>
      <c r="U83" s="117" t="str">
        <f t="shared" si="47"/>
        <v/>
      </c>
      <c r="V83" s="118" t="str">
        <f t="shared" si="16"/>
        <v/>
      </c>
      <c r="W83" s="116" t="str">
        <f t="shared" si="16"/>
        <v/>
      </c>
      <c r="X83" s="94" t="str">
        <f t="shared" si="16"/>
        <v/>
      </c>
      <c r="Y83" s="392"/>
      <c r="Z83" s="392"/>
      <c r="AA83" s="392"/>
      <c r="AB83" s="95" t="str">
        <f t="shared" si="17"/>
        <v/>
      </c>
      <c r="AC83" s="120" t="str">
        <f t="shared" si="18"/>
        <v/>
      </c>
      <c r="AD83" s="118" t="str">
        <f t="shared" si="48"/>
        <v/>
      </c>
      <c r="AE83" s="198" t="str">
        <f t="shared" si="49"/>
        <v/>
      </c>
      <c r="AF83" s="116" t="str">
        <f t="shared" si="19"/>
        <v/>
      </c>
      <c r="AG83" s="117" t="str">
        <f>IF(D83="","",VLOOKUP(F83,'9. All Habitats + Multipliers'!$C$4:$K$102,5,FALSE))</f>
        <v/>
      </c>
      <c r="AH83" s="118" t="str">
        <f>IF(AG83="","",VLOOKUP(AG83,'11. Lists'!$B$47:$D$49,2,FALSE))</f>
        <v/>
      </c>
      <c r="AI83" s="117" t="str">
        <f t="shared" si="20"/>
        <v/>
      </c>
      <c r="AJ83" s="96" t="str">
        <f>IF(AI83="","",VLOOKUP(AI83,'11. Lists'!$F$47:$G$51,2,FALSE))</f>
        <v/>
      </c>
      <c r="AK83" s="392"/>
      <c r="AL83" s="392"/>
      <c r="AM83" s="392"/>
      <c r="AN83" s="96" t="str">
        <f t="shared" si="21"/>
        <v/>
      </c>
      <c r="AO83" s="119" t="str">
        <f>IF(AN83="","",VLOOKUP(AN83,'11. Lists'!$F$36:$H$38,2,FALSE))</f>
        <v/>
      </c>
      <c r="AP83" s="118" t="str">
        <f>IF(AN83="","",VLOOKUP(AN83,'11. Lists'!$F$36:$H$38,3,FALSE))</f>
        <v/>
      </c>
      <c r="AQ83" s="117" t="str">
        <f>IF(D83="","",VLOOKUP(F83,'10. Condition and Temporal'!$B$6:$L$103,11,FALSE))</f>
        <v/>
      </c>
      <c r="AR83" s="121" t="str">
        <f>IF(AQ83="","",VLOOKUP(AQ83,'11. Lists'!$I$47:$K$80,3,FALSE))</f>
        <v/>
      </c>
      <c r="AS83" s="137" t="str">
        <f>IF(D83="","",VLOOKUP(F83,'10. Condition and Temporal'!$B$6:$M$106,12,FALSE))</f>
        <v/>
      </c>
      <c r="AT83" s="121" t="str">
        <f>IF(AS83="","",VLOOKUP(AS83,'11. Lists'!$I$47:$K$80,3,FALSE))</f>
        <v/>
      </c>
      <c r="AU83" s="120" t="str">
        <f>IF(D83="","",VLOOKUP(F83,'9. All Habitats + Multipliers'!$C$4:$K$102,8,FALSE))</f>
        <v/>
      </c>
      <c r="AV83" s="118" t="str">
        <f>IF(AU83="","",VLOOKUP(AU83,'11. Lists'!$J$35:$K$38,2,FALSE))</f>
        <v/>
      </c>
      <c r="AW83" s="117" t="str">
        <f>IF(D83="","",VLOOKUP(D83,'10. Condition and Temporal'!$B$6:$M$103,4,FALSE))</f>
        <v/>
      </c>
      <c r="AX83" s="118" t="str">
        <f t="shared" si="22"/>
        <v/>
      </c>
      <c r="AZ83" s="227"/>
      <c r="BA83" s="94">
        <v>18</v>
      </c>
      <c r="BB83" s="96" t="str">
        <f t="shared" si="23"/>
        <v/>
      </c>
      <c r="BC83" s="96" t="str">
        <f t="shared" si="24"/>
        <v/>
      </c>
      <c r="BD83" s="96" t="str">
        <f t="shared" si="25"/>
        <v/>
      </c>
      <c r="BE83" s="96" t="str">
        <f t="shared" si="26"/>
        <v/>
      </c>
      <c r="BF83" s="96" t="str">
        <f t="shared" si="27"/>
        <v/>
      </c>
      <c r="BG83" s="96" t="str">
        <f t="shared" si="28"/>
        <v/>
      </c>
      <c r="BH83" s="96" t="str">
        <f t="shared" si="29"/>
        <v/>
      </c>
      <c r="BI83" s="96" t="str">
        <f t="shared" si="30"/>
        <v/>
      </c>
      <c r="BJ83" s="96" t="str">
        <f t="shared" si="31"/>
        <v/>
      </c>
      <c r="BK83" s="96" t="str">
        <f t="shared" si="32"/>
        <v/>
      </c>
      <c r="BL83" s="96" t="str">
        <f t="shared" si="33"/>
        <v/>
      </c>
      <c r="BM83" s="96" t="str">
        <f t="shared" si="34"/>
        <v/>
      </c>
      <c r="BN83" s="96" t="str">
        <f t="shared" si="35"/>
        <v/>
      </c>
      <c r="BO83" s="96" t="str">
        <f t="shared" si="36"/>
        <v/>
      </c>
      <c r="BP83" s="96" t="str">
        <f t="shared" si="37"/>
        <v/>
      </c>
      <c r="BQ83" s="96" t="str">
        <f t="shared" si="38"/>
        <v/>
      </c>
      <c r="BR83" s="96" t="str">
        <f t="shared" si="39"/>
        <v/>
      </c>
      <c r="BS83" s="96" t="str">
        <f t="shared" si="40"/>
        <v/>
      </c>
      <c r="BT83" s="96" t="str">
        <f t="shared" si="41"/>
        <v/>
      </c>
      <c r="BU83" s="95" t="str">
        <f t="shared" si="42"/>
        <v/>
      </c>
      <c r="BV83" s="205" t="str">
        <f t="shared" si="50"/>
        <v/>
      </c>
      <c r="BW83" s="96" t="s">
        <v>152</v>
      </c>
      <c r="BX83" s="96">
        <f>BS64</f>
        <v>0</v>
      </c>
    </row>
    <row r="84" spans="1:76" s="26" customFormat="1" ht="15.75" x14ac:dyDescent="0.25">
      <c r="B84" s="298">
        <v>19</v>
      </c>
      <c r="C84" s="122" t="str">
        <f t="shared" si="12"/>
        <v/>
      </c>
      <c r="D84" s="229" t="str">
        <f t="shared" si="43"/>
        <v/>
      </c>
      <c r="E84" s="176" t="str">
        <f t="shared" si="13"/>
        <v/>
      </c>
      <c r="F84" s="632"/>
      <c r="G84" s="633"/>
      <c r="H84" s="172" t="str">
        <f t="shared" si="14"/>
        <v/>
      </c>
      <c r="I84" s="363" t="str">
        <f t="shared" si="44"/>
        <v/>
      </c>
      <c r="J84" s="857" t="str">
        <f>IF(F84="","",VLOOKUP(F84,'10. Condition and Temporal'!$B$6:$F$103,5,FALSE))</f>
        <v/>
      </c>
      <c r="K84" s="858"/>
      <c r="L84" s="498" t="str">
        <f t="shared" si="45"/>
        <v/>
      </c>
      <c r="M84" s="856" t="str">
        <f t="shared" si="46"/>
        <v/>
      </c>
      <c r="N84" s="856"/>
      <c r="O84" s="75"/>
      <c r="P84" s="12"/>
      <c r="R84" s="664"/>
      <c r="T84" s="196" t="str">
        <f t="shared" si="15"/>
        <v/>
      </c>
      <c r="U84" s="117" t="str">
        <f t="shared" si="47"/>
        <v/>
      </c>
      <c r="V84" s="118" t="str">
        <f t="shared" si="16"/>
        <v/>
      </c>
      <c r="W84" s="116" t="str">
        <f t="shared" si="16"/>
        <v/>
      </c>
      <c r="X84" s="94" t="str">
        <f t="shared" si="16"/>
        <v/>
      </c>
      <c r="Y84" s="392"/>
      <c r="Z84" s="392"/>
      <c r="AA84" s="392"/>
      <c r="AB84" s="95" t="str">
        <f t="shared" si="17"/>
        <v/>
      </c>
      <c r="AC84" s="120" t="str">
        <f t="shared" si="18"/>
        <v/>
      </c>
      <c r="AD84" s="118" t="str">
        <f t="shared" si="48"/>
        <v/>
      </c>
      <c r="AE84" s="198" t="str">
        <f t="shared" si="49"/>
        <v/>
      </c>
      <c r="AF84" s="116" t="str">
        <f t="shared" si="19"/>
        <v/>
      </c>
      <c r="AG84" s="117" t="str">
        <f>IF(D84="","",VLOOKUP(F84,'9. All Habitats + Multipliers'!$C$4:$K$102,5,FALSE))</f>
        <v/>
      </c>
      <c r="AH84" s="118" t="str">
        <f>IF(AG84="","",VLOOKUP(AG84,'11. Lists'!$B$47:$D$49,2,FALSE))</f>
        <v/>
      </c>
      <c r="AI84" s="117" t="str">
        <f t="shared" si="20"/>
        <v/>
      </c>
      <c r="AJ84" s="96" t="str">
        <f>IF(AI84="","",VLOOKUP(AI84,'11. Lists'!$F$47:$G$51,2,FALSE))</f>
        <v/>
      </c>
      <c r="AK84" s="392"/>
      <c r="AL84" s="392"/>
      <c r="AM84" s="392"/>
      <c r="AN84" s="96" t="str">
        <f t="shared" si="21"/>
        <v/>
      </c>
      <c r="AO84" s="119" t="str">
        <f>IF(AN84="","",VLOOKUP(AN84,'11. Lists'!$F$36:$H$38,2,FALSE))</f>
        <v/>
      </c>
      <c r="AP84" s="118" t="str">
        <f>IF(AN84="","",VLOOKUP(AN84,'11. Lists'!$F$36:$H$38,3,FALSE))</f>
        <v/>
      </c>
      <c r="AQ84" s="117" t="str">
        <f>IF(D84="","",VLOOKUP(F84,'10. Condition and Temporal'!$B$6:$L$103,11,FALSE))</f>
        <v/>
      </c>
      <c r="AR84" s="121" t="str">
        <f>IF(AQ84="","",VLOOKUP(AQ84,'11. Lists'!$I$47:$K$80,3,FALSE))</f>
        <v/>
      </c>
      <c r="AS84" s="137" t="str">
        <f>IF(D84="","",VLOOKUP(F84,'10. Condition and Temporal'!$B$6:$M$106,12,FALSE))</f>
        <v/>
      </c>
      <c r="AT84" s="121" t="str">
        <f>IF(AS84="","",VLOOKUP(AS84,'11. Lists'!$I$47:$K$80,3,FALSE))</f>
        <v/>
      </c>
      <c r="AU84" s="120" t="str">
        <f>IF(D84="","",VLOOKUP(F84,'9. All Habitats + Multipliers'!$C$4:$K$102,8,FALSE))</f>
        <v/>
      </c>
      <c r="AV84" s="118" t="str">
        <f>IF(AU84="","",VLOOKUP(AU84,'11. Lists'!$J$35:$K$38,2,FALSE))</f>
        <v/>
      </c>
      <c r="AW84" s="117" t="str">
        <f>IF(D84="","",VLOOKUP(D84,'10. Condition and Temporal'!$B$6:$M$103,4,FALSE))</f>
        <v/>
      </c>
      <c r="AX84" s="118" t="str">
        <f t="shared" si="22"/>
        <v/>
      </c>
      <c r="AZ84" s="227"/>
      <c r="BA84" s="94">
        <v>19</v>
      </c>
      <c r="BB84" s="96" t="str">
        <f t="shared" si="23"/>
        <v/>
      </c>
      <c r="BC84" s="96" t="str">
        <f t="shared" si="24"/>
        <v/>
      </c>
      <c r="BD84" s="96" t="str">
        <f t="shared" si="25"/>
        <v/>
      </c>
      <c r="BE84" s="96" t="str">
        <f t="shared" si="26"/>
        <v/>
      </c>
      <c r="BF84" s="96" t="str">
        <f t="shared" si="27"/>
        <v/>
      </c>
      <c r="BG84" s="96" t="str">
        <f t="shared" si="28"/>
        <v/>
      </c>
      <c r="BH84" s="96" t="str">
        <f t="shared" si="29"/>
        <v/>
      </c>
      <c r="BI84" s="96" t="str">
        <f t="shared" si="30"/>
        <v/>
      </c>
      <c r="BJ84" s="96" t="str">
        <f t="shared" si="31"/>
        <v/>
      </c>
      <c r="BK84" s="96" t="str">
        <f t="shared" si="32"/>
        <v/>
      </c>
      <c r="BL84" s="96" t="str">
        <f t="shared" si="33"/>
        <v/>
      </c>
      <c r="BM84" s="96" t="str">
        <f t="shared" si="34"/>
        <v/>
      </c>
      <c r="BN84" s="96" t="str">
        <f t="shared" si="35"/>
        <v/>
      </c>
      <c r="BO84" s="96" t="str">
        <f t="shared" si="36"/>
        <v/>
      </c>
      <c r="BP84" s="96" t="str">
        <f t="shared" si="37"/>
        <v/>
      </c>
      <c r="BQ84" s="96" t="str">
        <f t="shared" si="38"/>
        <v/>
      </c>
      <c r="BR84" s="96" t="str">
        <f t="shared" si="39"/>
        <v/>
      </c>
      <c r="BS84" s="96" t="str">
        <f t="shared" si="40"/>
        <v/>
      </c>
      <c r="BT84" s="96" t="str">
        <f t="shared" si="41"/>
        <v/>
      </c>
      <c r="BU84" s="95" t="str">
        <f t="shared" si="42"/>
        <v/>
      </c>
      <c r="BV84" s="205" t="str">
        <f t="shared" si="50"/>
        <v/>
      </c>
      <c r="BW84" s="96" t="s">
        <v>153</v>
      </c>
      <c r="BX84" s="96">
        <f>BT64</f>
        <v>0</v>
      </c>
    </row>
    <row r="85" spans="1:76" s="26" customFormat="1" ht="16.5" thickBot="1" x14ac:dyDescent="0.3">
      <c r="B85" s="299">
        <v>20</v>
      </c>
      <c r="C85" s="141" t="str">
        <f t="shared" si="12"/>
        <v/>
      </c>
      <c r="D85" s="493" t="str">
        <f t="shared" si="43"/>
        <v/>
      </c>
      <c r="E85" s="177" t="str">
        <f t="shared" si="13"/>
        <v/>
      </c>
      <c r="F85" s="811"/>
      <c r="G85" s="812"/>
      <c r="H85" s="173" t="str">
        <f t="shared" si="14"/>
        <v/>
      </c>
      <c r="I85" s="497" t="str">
        <f t="shared" si="44"/>
        <v/>
      </c>
      <c r="J85" s="859" t="str">
        <f>IF(F85="","",VLOOKUP(F85,'10. Condition and Temporal'!$B$6:$F$103,5,FALSE))</f>
        <v/>
      </c>
      <c r="K85" s="860"/>
      <c r="L85" s="500" t="str">
        <f t="shared" si="45"/>
        <v/>
      </c>
      <c r="M85" s="861" t="str">
        <f t="shared" si="46"/>
        <v/>
      </c>
      <c r="N85" s="861"/>
      <c r="O85" s="76"/>
      <c r="P85" s="14"/>
      <c r="R85" s="664"/>
      <c r="T85" s="196" t="str">
        <f t="shared" si="15"/>
        <v/>
      </c>
      <c r="U85" s="117" t="str">
        <f t="shared" si="47"/>
        <v/>
      </c>
      <c r="V85" s="118" t="str">
        <f t="shared" si="16"/>
        <v/>
      </c>
      <c r="W85" s="116" t="str">
        <f t="shared" si="16"/>
        <v/>
      </c>
      <c r="X85" s="100" t="str">
        <f t="shared" si="16"/>
        <v/>
      </c>
      <c r="Y85" s="414"/>
      <c r="Z85" s="414"/>
      <c r="AA85" s="414"/>
      <c r="AB85" s="101" t="str">
        <f t="shared" si="17"/>
        <v/>
      </c>
      <c r="AC85" s="120" t="str">
        <f t="shared" si="18"/>
        <v/>
      </c>
      <c r="AD85" s="118" t="str">
        <f t="shared" si="48"/>
        <v/>
      </c>
      <c r="AE85" s="198" t="str">
        <f t="shared" si="49"/>
        <v/>
      </c>
      <c r="AF85" s="116" t="str">
        <f t="shared" si="19"/>
        <v/>
      </c>
      <c r="AG85" s="117" t="str">
        <f>IF(D85="","",VLOOKUP(F85,'9. All Habitats + Multipliers'!$C$4:$K$102,5,FALSE))</f>
        <v/>
      </c>
      <c r="AH85" s="118" t="str">
        <f>IF(AG85="","",VLOOKUP(AG85,'11. Lists'!$B$47:$D$49,2,FALSE))</f>
        <v/>
      </c>
      <c r="AI85" s="117" t="str">
        <f t="shared" si="20"/>
        <v/>
      </c>
      <c r="AJ85" s="96" t="str">
        <f>IF(AI85="","",VLOOKUP(AI85,'11. Lists'!$F$47:$G$51,2,FALSE))</f>
        <v/>
      </c>
      <c r="AK85" s="392"/>
      <c r="AL85" s="392"/>
      <c r="AM85" s="392"/>
      <c r="AN85" s="96" t="str">
        <f t="shared" si="21"/>
        <v/>
      </c>
      <c r="AO85" s="119" t="str">
        <f>IF(AN85="","",VLOOKUP(AN85,'11. Lists'!$F$36:$H$38,2,FALSE))</f>
        <v/>
      </c>
      <c r="AP85" s="118" t="str">
        <f>IF(AN85="","",VLOOKUP(AN85,'11. Lists'!$F$36:$H$38,3,FALSE))</f>
        <v/>
      </c>
      <c r="AQ85" s="117" t="str">
        <f>IF(D85="","",VLOOKUP(F85,'10. Condition and Temporal'!$B$6:$L$103,11,FALSE))</f>
        <v/>
      </c>
      <c r="AR85" s="121" t="str">
        <f>IF(AQ85="","",VLOOKUP(AQ85,'11. Lists'!$I$47:$K$80,3,FALSE))</f>
        <v/>
      </c>
      <c r="AS85" s="137" t="str">
        <f>IF(D85="","",VLOOKUP(F85,'10. Condition and Temporal'!$B$6:$M$106,12,FALSE))</f>
        <v/>
      </c>
      <c r="AT85" s="121" t="str">
        <f>IF(AS85="","",VLOOKUP(AS85,'11. Lists'!$I$47:$K$80,3,FALSE))</f>
        <v/>
      </c>
      <c r="AU85" s="120" t="str">
        <f>IF(D85="","",VLOOKUP(F85,'9. All Habitats + Multipliers'!$C$4:$K$102,8,FALSE))</f>
        <v/>
      </c>
      <c r="AV85" s="118" t="str">
        <f>IF(AU85="","",VLOOKUP(AU85,'11. Lists'!$J$35:$K$38,2,FALSE))</f>
        <v/>
      </c>
      <c r="AW85" s="117" t="str">
        <f>IF(D85="","",VLOOKUP(D85,'10. Condition and Temporal'!$B$6:$M$103,4,FALSE))</f>
        <v/>
      </c>
      <c r="AX85" s="118" t="str">
        <f t="shared" si="22"/>
        <v/>
      </c>
      <c r="AZ85" s="227"/>
      <c r="BA85" s="100">
        <v>20</v>
      </c>
      <c r="BB85" s="96" t="str">
        <f t="shared" si="23"/>
        <v/>
      </c>
      <c r="BC85" s="96" t="str">
        <f t="shared" si="24"/>
        <v/>
      </c>
      <c r="BD85" s="96" t="str">
        <f t="shared" si="25"/>
        <v/>
      </c>
      <c r="BE85" s="96" t="str">
        <f t="shared" si="26"/>
        <v/>
      </c>
      <c r="BF85" s="96" t="str">
        <f t="shared" si="27"/>
        <v/>
      </c>
      <c r="BG85" s="96" t="str">
        <f t="shared" si="28"/>
        <v/>
      </c>
      <c r="BH85" s="96" t="str">
        <f t="shared" si="29"/>
        <v/>
      </c>
      <c r="BI85" s="96" t="str">
        <f t="shared" si="30"/>
        <v/>
      </c>
      <c r="BJ85" s="96" t="str">
        <f t="shared" si="31"/>
        <v/>
      </c>
      <c r="BK85" s="96" t="str">
        <f t="shared" si="32"/>
        <v/>
      </c>
      <c r="BL85" s="96" t="str">
        <f t="shared" si="33"/>
        <v/>
      </c>
      <c r="BM85" s="96" t="str">
        <f t="shared" si="34"/>
        <v/>
      </c>
      <c r="BN85" s="96" t="str">
        <f t="shared" si="35"/>
        <v/>
      </c>
      <c r="BO85" s="96" t="str">
        <f t="shared" si="36"/>
        <v/>
      </c>
      <c r="BP85" s="96" t="str">
        <f t="shared" si="37"/>
        <v/>
      </c>
      <c r="BQ85" s="96" t="str">
        <f t="shared" si="38"/>
        <v/>
      </c>
      <c r="BR85" s="96" t="str">
        <f t="shared" si="39"/>
        <v/>
      </c>
      <c r="BS85" s="96" t="str">
        <f t="shared" si="40"/>
        <v/>
      </c>
      <c r="BT85" s="96" t="str">
        <f t="shared" si="41"/>
        <v/>
      </c>
      <c r="BU85" s="95" t="str">
        <f t="shared" si="42"/>
        <v/>
      </c>
      <c r="BV85" s="205" t="str">
        <f t="shared" si="50"/>
        <v/>
      </c>
      <c r="BW85" s="96" t="s">
        <v>154</v>
      </c>
      <c r="BX85" s="96">
        <f>BU64</f>
        <v>0</v>
      </c>
    </row>
    <row r="86" spans="1:76" s="26" customFormat="1" ht="15.75" thickBot="1" x14ac:dyDescent="0.3">
      <c r="H86" s="302" t="s">
        <v>194</v>
      </c>
      <c r="I86" s="368">
        <f>SUM(I66:I85)</f>
        <v>0</v>
      </c>
      <c r="J86" s="487"/>
      <c r="L86" s="477">
        <f>SUM(L66:L85)</f>
        <v>0</v>
      </c>
      <c r="M86" s="652">
        <f>SUM(M66:N85)</f>
        <v>0</v>
      </c>
      <c r="N86" s="852"/>
      <c r="R86" s="664"/>
    </row>
    <row r="87" spans="1:76" s="26" customFormat="1" x14ac:dyDescent="0.25">
      <c r="C87" s="27"/>
      <c r="R87" s="664"/>
    </row>
    <row r="88" spans="1:76" s="26" customFormat="1" x14ac:dyDescent="0.25">
      <c r="R88" s="664"/>
    </row>
    <row r="89" spans="1:76" s="26" customFormat="1" ht="19.149999999999999" customHeight="1" x14ac:dyDescent="0.25">
      <c r="R89" s="664"/>
    </row>
    <row r="90" spans="1:76" s="26" customFormat="1" x14ac:dyDescent="0.25">
      <c r="R90" s="664"/>
    </row>
    <row r="91" spans="1:76" s="26" customFormat="1" x14ac:dyDescent="0.25">
      <c r="A91" s="668" t="s">
        <v>163</v>
      </c>
      <c r="B91" s="668"/>
      <c r="C91" s="668"/>
      <c r="D91" s="668"/>
      <c r="E91" s="668"/>
      <c r="F91" s="668"/>
      <c r="G91" s="668"/>
      <c r="H91" s="668"/>
      <c r="I91" s="668"/>
      <c r="J91" s="668"/>
      <c r="K91" s="668"/>
      <c r="L91" s="668"/>
      <c r="M91" s="668"/>
      <c r="N91" s="668"/>
      <c r="O91" s="668"/>
      <c r="P91" s="668"/>
      <c r="Q91" s="668"/>
      <c r="R91" s="664"/>
    </row>
    <row r="92" spans="1:76" s="26" customFormat="1" x14ac:dyDescent="0.25">
      <c r="A92" s="668"/>
      <c r="B92" s="668"/>
      <c r="C92" s="668"/>
      <c r="D92" s="668"/>
      <c r="E92" s="668"/>
      <c r="F92" s="668"/>
      <c r="G92" s="668"/>
      <c r="H92" s="668"/>
      <c r="I92" s="668"/>
      <c r="J92" s="668"/>
      <c r="K92" s="668"/>
      <c r="L92" s="668"/>
      <c r="M92" s="668"/>
      <c r="N92" s="668"/>
      <c r="O92" s="668"/>
      <c r="P92" s="668"/>
      <c r="Q92" s="668"/>
      <c r="R92" s="664"/>
    </row>
    <row r="93" spans="1:76" s="26" customFormat="1" x14ac:dyDescent="0.25">
      <c r="A93" s="668"/>
      <c r="B93" s="668"/>
      <c r="C93" s="668"/>
      <c r="D93" s="668"/>
      <c r="E93" s="668"/>
      <c r="F93" s="668"/>
      <c r="G93" s="668"/>
      <c r="H93" s="668"/>
      <c r="I93" s="668"/>
      <c r="J93" s="668"/>
      <c r="K93" s="668"/>
      <c r="L93" s="668"/>
      <c r="M93" s="668"/>
      <c r="N93" s="668"/>
      <c r="O93" s="668"/>
      <c r="P93" s="668"/>
      <c r="Q93" s="668"/>
      <c r="R93" s="664"/>
    </row>
    <row r="94" spans="1:76" s="26" customFormat="1" x14ac:dyDescent="0.25">
      <c r="R94" s="664"/>
    </row>
    <row r="95" spans="1:76" s="26" customFormat="1" ht="21" x14ac:dyDescent="0.35">
      <c r="B95" s="58" t="s">
        <v>164</v>
      </c>
      <c r="D95" s="27"/>
      <c r="E95" s="27"/>
      <c r="F95" s="27"/>
      <c r="G95" s="27"/>
      <c r="R95" s="664"/>
    </row>
    <row r="96" spans="1:76" s="26" customFormat="1" ht="15.75" thickBot="1" x14ac:dyDescent="0.3">
      <c r="R96" s="664"/>
    </row>
    <row r="97" spans="2:18" s="26" customFormat="1" ht="36.6" customHeight="1" x14ac:dyDescent="0.25">
      <c r="B97" s="681" t="s">
        <v>165</v>
      </c>
      <c r="C97" s="682"/>
      <c r="D97" s="683"/>
      <c r="E97" s="662" t="str">
        <f>IF(SUM(J103:J104)&gt;0,"Error - Trading Rules Not Satisfied - Insufficent Medium Distinctivness Units Created ▲","Trading Rules Satisfied 🗸")</f>
        <v>Trading Rules Satisfied 🗸</v>
      </c>
      <c r="F97" s="662"/>
      <c r="G97" s="662"/>
      <c r="H97" s="662"/>
      <c r="I97" s="663"/>
      <c r="J97" s="166">
        <f>IFERROR(FIND("Error",E97),0)</f>
        <v>0</v>
      </c>
      <c r="R97" s="664"/>
    </row>
    <row r="98" spans="2:18" s="26" customFormat="1" ht="36" customHeight="1" thickBot="1" x14ac:dyDescent="0.3">
      <c r="B98" s="669" t="s">
        <v>166</v>
      </c>
      <c r="C98" s="670"/>
      <c r="D98" s="671"/>
      <c r="E98" s="660" t="str">
        <f>IF(SUM(J107:J109)&gt;0,"Error - Trading Rules Not Satisfied - Insufficent Units Created Within Habitat Groups ▲","Trading Rules Satisfied 🗸")</f>
        <v>Trading Rules Satisfied 🗸</v>
      </c>
      <c r="F98" s="660"/>
      <c r="G98" s="660"/>
      <c r="H98" s="660"/>
      <c r="I98" s="661"/>
      <c r="J98" s="166">
        <f>IFERROR(FIND("Error",E98),0)</f>
        <v>0</v>
      </c>
      <c r="R98" s="664"/>
    </row>
    <row r="99" spans="2:18" s="26" customFormat="1" x14ac:dyDescent="0.25">
      <c r="R99" s="664"/>
    </row>
    <row r="100" spans="2:18" s="26" customFormat="1" ht="21" x14ac:dyDescent="0.35">
      <c r="B100" s="58" t="s">
        <v>167</v>
      </c>
      <c r="R100" s="664"/>
    </row>
    <row r="101" spans="2:18" s="26" customFormat="1" ht="15.75" thickBot="1" x14ac:dyDescent="0.3">
      <c r="R101" s="664"/>
    </row>
    <row r="102" spans="2:18" s="26" customFormat="1" ht="36.6" customHeight="1" x14ac:dyDescent="0.25">
      <c r="B102" s="724" t="s">
        <v>168</v>
      </c>
      <c r="C102" s="725"/>
      <c r="D102" s="725"/>
      <c r="E102" s="233" t="s">
        <v>169</v>
      </c>
      <c r="F102" s="233" t="s">
        <v>170</v>
      </c>
      <c r="G102" s="233" t="s">
        <v>171</v>
      </c>
      <c r="H102" s="233" t="s">
        <v>172</v>
      </c>
      <c r="I102" s="123" t="s">
        <v>173</v>
      </c>
      <c r="J102" s="166" t="s">
        <v>196</v>
      </c>
      <c r="R102" s="664"/>
    </row>
    <row r="103" spans="2:18" s="26" customFormat="1" ht="15.6" customHeight="1" x14ac:dyDescent="0.25">
      <c r="B103" s="726" t="s">
        <v>199</v>
      </c>
      <c r="C103" s="727"/>
      <c r="D103" s="728"/>
      <c r="E103" s="124" t="s">
        <v>175</v>
      </c>
      <c r="F103" s="125">
        <f>SUMIFS($L$11:$L$30,$C$11:$C$30,$B103,$T$11:$T$30,$E103)</f>
        <v>0</v>
      </c>
      <c r="G103" s="293">
        <f>SUMIFS($L$39:$L$58,$C$39:$C$58,$B103,$T$39:$T$58,$E103)+SUMIFS($L$66:$L$85,$C$66:$C$85,B103,$AG$66:$AG$85,E103)+SUMIFS($AE$11:$AE$30,$C$11:$C$30,B103,$T$11:$T$30,E103)</f>
        <v>0</v>
      </c>
      <c r="H103" s="125">
        <f>G103-F103</f>
        <v>0</v>
      </c>
      <c r="I103" s="126" t="s">
        <v>176</v>
      </c>
      <c r="J103" s="166">
        <f>IF(I103="No",1,0)</f>
        <v>0</v>
      </c>
      <c r="R103" s="664"/>
    </row>
    <row r="104" spans="2:18" s="26" customFormat="1" ht="15.6" customHeight="1" thickBot="1" x14ac:dyDescent="0.3">
      <c r="B104" s="743"/>
      <c r="C104" s="744"/>
      <c r="D104" s="745"/>
      <c r="E104" s="241" t="s">
        <v>177</v>
      </c>
      <c r="F104" s="242">
        <f>SUMIFS($L$11:$L$30,$C$11:$C$30,$B103,$T$11:$T$30,$E104)</f>
        <v>0</v>
      </c>
      <c r="G104" s="242">
        <f>SUMIFS($L$39:$L$58,$C$39:$C$58,$B103,$T$39:$T$58,$E104)+SUMIFS($L$66:$L$85,$C$66:$C$85,B103,$AG$66:$AG$85,E104)+SUMIFS($AE$11:$AE$30,$C$11:$C$30,B103,$T$11:$T$30,E104)</f>
        <v>0</v>
      </c>
      <c r="H104" s="242">
        <f>G104-F104</f>
        <v>0</v>
      </c>
      <c r="I104" s="243" t="str">
        <f>IF(F104=0,"N/A",IF(H104&lt;0,"No ▲","Yes 🗸"))</f>
        <v>N/A</v>
      </c>
      <c r="J104" s="166">
        <f>IF(I104="No ▲",1,0)</f>
        <v>0</v>
      </c>
      <c r="R104" s="664"/>
    </row>
    <row r="105" spans="2:18" s="26" customFormat="1" ht="15.6" customHeight="1" thickBot="1" x14ac:dyDescent="0.3">
      <c r="J105" s="166"/>
      <c r="M105" s="27"/>
      <c r="R105" s="664"/>
    </row>
    <row r="106" spans="2:18" s="26" customFormat="1" ht="37.5" x14ac:dyDescent="0.25">
      <c r="B106" s="681" t="s">
        <v>169</v>
      </c>
      <c r="C106" s="682"/>
      <c r="D106" s="682"/>
      <c r="E106" s="683"/>
      <c r="F106" s="129" t="s">
        <v>170</v>
      </c>
      <c r="G106" s="129" t="s">
        <v>171</v>
      </c>
      <c r="H106" s="129" t="s">
        <v>172</v>
      </c>
      <c r="I106" s="130" t="s">
        <v>173</v>
      </c>
      <c r="J106" s="166"/>
      <c r="M106" s="27"/>
      <c r="R106" s="664"/>
    </row>
    <row r="107" spans="2:18" s="26" customFormat="1" ht="30.6" customHeight="1" x14ac:dyDescent="0.25">
      <c r="B107" s="735" t="s">
        <v>185</v>
      </c>
      <c r="C107" s="736"/>
      <c r="D107" s="736"/>
      <c r="E107" s="737"/>
      <c r="F107" s="125">
        <f>SUMIFS($L$11:$L$30,$T$11:$T$30,"Medium")</f>
        <v>0</v>
      </c>
      <c r="G107" s="165">
        <f>IF(I59+I86+P1=0,0,SUMIFS($L$39:$L$58,$T$39:$T$58,"Medium")+SUMIFS($L$66:$L$85,$AG$66:$AG$85,"Medium")+SUMIFS($AE$11:$AE$30,$T$11:$T$30,"Medium"))</f>
        <v>0</v>
      </c>
      <c r="H107" s="125">
        <f>G107-F107</f>
        <v>0</v>
      </c>
      <c r="I107" s="377" t="str">
        <f>IF(H107&gt;=0,"Yes 🗸","No ▲")</f>
        <v>Yes 🗸</v>
      </c>
      <c r="J107" s="166">
        <f>IF(I107="No ▲",1,0)</f>
        <v>0</v>
      </c>
      <c r="R107" s="664" t="s">
        <v>45</v>
      </c>
    </row>
    <row r="108" spans="2:18" s="26" customFormat="1" ht="30.6" customHeight="1" x14ac:dyDescent="0.25">
      <c r="B108" s="735" t="s">
        <v>186</v>
      </c>
      <c r="C108" s="736"/>
      <c r="D108" s="736"/>
      <c r="E108" s="737"/>
      <c r="F108" s="125">
        <f>SUMIFS($L$11:$L$30,$T$11:$T$30,"Low")</f>
        <v>0</v>
      </c>
      <c r="G108" s="125">
        <f>IF(I59+I86+P1=0,0,SUMIFS($L$39:$L$58,$T$39:$T$58,"Low")+SUMIFS($N$66:$N$85,$AG$66:$AG$85,"Low")+SUMIFS($AE$11:$AE$30,$T$11:$T$30,"Low"))</f>
        <v>0</v>
      </c>
      <c r="H108" s="125">
        <f>G108-F108</f>
        <v>0</v>
      </c>
      <c r="I108" s="377" t="str">
        <f>IF(H108+H107&gt;=0,"Yes 🗸","No ▲")</f>
        <v>Yes 🗸</v>
      </c>
      <c r="J108" s="166">
        <f>IF(I108="No ▲",1,0)</f>
        <v>0</v>
      </c>
      <c r="R108" s="664"/>
    </row>
    <row r="109" spans="2:18" s="26" customFormat="1" ht="29.45" customHeight="1" thickBot="1" x14ac:dyDescent="0.3">
      <c r="B109" s="738" t="s">
        <v>187</v>
      </c>
      <c r="C109" s="739"/>
      <c r="D109" s="739"/>
      <c r="E109" s="740"/>
      <c r="F109" s="732">
        <f>H107+H108</f>
        <v>0</v>
      </c>
      <c r="G109" s="733"/>
      <c r="H109" s="734"/>
      <c r="I109" s="378" t="str">
        <f>IF(F109&gt;=0,"Yes 🗸","No▲")</f>
        <v>Yes 🗸</v>
      </c>
      <c r="J109" s="166">
        <f>IF(I109="No ▲",1,0)</f>
        <v>0</v>
      </c>
      <c r="R109" s="664"/>
    </row>
    <row r="110" spans="2:18" s="26" customFormat="1" x14ac:dyDescent="0.25">
      <c r="R110" s="664"/>
    </row>
    <row r="111" spans="2:18" s="26" customFormat="1" x14ac:dyDescent="0.25">
      <c r="R111" s="664"/>
    </row>
    <row r="112" spans="2:18" s="26" customFormat="1" x14ac:dyDescent="0.25">
      <c r="R112" s="664"/>
    </row>
    <row r="113" spans="18:18" s="26" customFormat="1" x14ac:dyDescent="0.25">
      <c r="R113" s="664"/>
    </row>
    <row r="114" spans="18:18" s="26" customFormat="1" x14ac:dyDescent="0.25">
      <c r="R114" s="664"/>
    </row>
    <row r="115" spans="18:18" s="26" customFormat="1" x14ac:dyDescent="0.25">
      <c r="R115" s="664"/>
    </row>
    <row r="116" spans="18:18" s="26" customFormat="1" x14ac:dyDescent="0.25">
      <c r="R116" s="664"/>
    </row>
    <row r="117" spans="18:18" s="26" customFormat="1" x14ac:dyDescent="0.25">
      <c r="R117" s="664"/>
    </row>
    <row r="118" spans="18:18" s="26" customFormat="1" x14ac:dyDescent="0.25">
      <c r="R118" s="664"/>
    </row>
    <row r="119" spans="18:18" s="26" customFormat="1" x14ac:dyDescent="0.25">
      <c r="R119" s="664"/>
    </row>
    <row r="120" spans="18:18" s="26" customFormat="1" x14ac:dyDescent="0.25">
      <c r="R120" s="664"/>
    </row>
    <row r="121" spans="18:18" s="26" customFormat="1" x14ac:dyDescent="0.25">
      <c r="R121" s="664"/>
    </row>
    <row r="122" spans="18:18" s="26" customFormat="1" x14ac:dyDescent="0.25">
      <c r="R122" s="664"/>
    </row>
    <row r="123" spans="18:18" s="26" customFormat="1" x14ac:dyDescent="0.25">
      <c r="R123" s="664"/>
    </row>
    <row r="124" spans="18:18" s="26" customFormat="1" x14ac:dyDescent="0.25">
      <c r="R124" s="664"/>
    </row>
    <row r="125" spans="18:18" s="26" customFormat="1" x14ac:dyDescent="0.25">
      <c r="R125" s="664"/>
    </row>
    <row r="126" spans="18:18" s="26" customFormat="1" x14ac:dyDescent="0.25">
      <c r="R126" s="664"/>
    </row>
    <row r="127" spans="18:18" s="26" customFormat="1" x14ac:dyDescent="0.25">
      <c r="R127" s="664"/>
    </row>
    <row r="128" spans="18:18" s="26" customFormat="1" x14ac:dyDescent="0.25">
      <c r="R128" s="664"/>
    </row>
    <row r="129" spans="18:18" s="26" customFormat="1" x14ac:dyDescent="0.25">
      <c r="R129" s="664"/>
    </row>
    <row r="130" spans="18:18" s="26" customFormat="1" x14ac:dyDescent="0.25">
      <c r="R130" s="664"/>
    </row>
    <row r="131" spans="18:18" s="26" customFormat="1" x14ac:dyDescent="0.25">
      <c r="R131" s="664"/>
    </row>
    <row r="132" spans="18:18" s="26" customFormat="1" x14ac:dyDescent="0.25">
      <c r="R132" s="664"/>
    </row>
    <row r="133" spans="18:18" s="26" customFormat="1" x14ac:dyDescent="0.25">
      <c r="R133" s="664"/>
    </row>
    <row r="134" spans="18:18" s="26" customFormat="1" x14ac:dyDescent="0.25">
      <c r="R134" s="664"/>
    </row>
    <row r="135" spans="18:18" s="26" customFormat="1" x14ac:dyDescent="0.25">
      <c r="R135" s="664"/>
    </row>
    <row r="136" spans="18:18" s="26" customFormat="1" x14ac:dyDescent="0.25">
      <c r="R136" s="664"/>
    </row>
    <row r="137" spans="18:18" s="26" customFormat="1" x14ac:dyDescent="0.25">
      <c r="R137" s="664"/>
    </row>
    <row r="138" spans="18:18" s="26" customFormat="1" x14ac:dyDescent="0.25">
      <c r="R138" s="664"/>
    </row>
  </sheetData>
  <sheetProtection algorithmName="SHA-512" hashValue="ttC9Iir4kXTwjJZe2nFrNZeq2h2LItJ3QtFYbD9khly4yrqOag3YuUfn9Zw2wsuxJ+/CAioyEYroTtr3J177mA==" saltValue="M4wUky7qdyAqxKmTttg8zA==" spinCount="100000" sheet="1" formatRows="0"/>
  <mergeCells count="273">
    <mergeCell ref="B9:B10"/>
    <mergeCell ref="C9:E9"/>
    <mergeCell ref="F9:H10"/>
    <mergeCell ref="I9:K9"/>
    <mergeCell ref="L9:N9"/>
    <mergeCell ref="D13:E13"/>
    <mergeCell ref="F13:H13"/>
    <mergeCell ref="D14:E14"/>
    <mergeCell ref="F14:H14"/>
    <mergeCell ref="D15:E15"/>
    <mergeCell ref="F15:H15"/>
    <mergeCell ref="AH9:AH10"/>
    <mergeCell ref="AI9:AI10"/>
    <mergeCell ref="D10:E10"/>
    <mergeCell ref="D11:E11"/>
    <mergeCell ref="F11:H11"/>
    <mergeCell ref="D12:E12"/>
    <mergeCell ref="F12:H12"/>
    <mergeCell ref="O9:P9"/>
    <mergeCell ref="W9:X9"/>
    <mergeCell ref="Y9:AA9"/>
    <mergeCell ref="AB9:AD9"/>
    <mergeCell ref="AE9:AG9"/>
    <mergeCell ref="R1:R31"/>
    <mergeCell ref="C2:D2"/>
    <mergeCell ref="F2:H6"/>
    <mergeCell ref="J2:M5"/>
    <mergeCell ref="C3:D3"/>
    <mergeCell ref="D19:E19"/>
    <mergeCell ref="F19:H19"/>
    <mergeCell ref="D20:E20"/>
    <mergeCell ref="F20:H20"/>
    <mergeCell ref="D21:E21"/>
    <mergeCell ref="F21:H21"/>
    <mergeCell ref="D16:E16"/>
    <mergeCell ref="F16:H16"/>
    <mergeCell ref="D17:E17"/>
    <mergeCell ref="F17:H17"/>
    <mergeCell ref="D18:E18"/>
    <mergeCell ref="F18:H18"/>
    <mergeCell ref="D25:E25"/>
    <mergeCell ref="F25:H25"/>
    <mergeCell ref="D26:E26"/>
    <mergeCell ref="F26:H26"/>
    <mergeCell ref="D27:E27"/>
    <mergeCell ref="F27:H27"/>
    <mergeCell ref="D22:E22"/>
    <mergeCell ref="F22:H22"/>
    <mergeCell ref="D23:E23"/>
    <mergeCell ref="F23:H23"/>
    <mergeCell ref="D24:E24"/>
    <mergeCell ref="F24:H24"/>
    <mergeCell ref="I32:N32"/>
    <mergeCell ref="R34:R62"/>
    <mergeCell ref="O37:P37"/>
    <mergeCell ref="F39:G39"/>
    <mergeCell ref="I39:K39"/>
    <mergeCell ref="L39:N39"/>
    <mergeCell ref="D28:E28"/>
    <mergeCell ref="F28:H28"/>
    <mergeCell ref="D29:E29"/>
    <mergeCell ref="F29:H29"/>
    <mergeCell ref="D30:E30"/>
    <mergeCell ref="F30:H30"/>
    <mergeCell ref="F42:G42"/>
    <mergeCell ref="I42:K42"/>
    <mergeCell ref="L42:N42"/>
    <mergeCell ref="F43:G43"/>
    <mergeCell ref="I43:K43"/>
    <mergeCell ref="L43:N43"/>
    <mergeCell ref="F40:G40"/>
    <mergeCell ref="I40:K40"/>
    <mergeCell ref="L40:N40"/>
    <mergeCell ref="F41:G41"/>
    <mergeCell ref="I41:K41"/>
    <mergeCell ref="L41:N41"/>
    <mergeCell ref="AE37:AF37"/>
    <mergeCell ref="AG37:AH37"/>
    <mergeCell ref="B37:B38"/>
    <mergeCell ref="C37:D37"/>
    <mergeCell ref="E37:G37"/>
    <mergeCell ref="H37:H38"/>
    <mergeCell ref="I37:K38"/>
    <mergeCell ref="L37:N38"/>
    <mergeCell ref="F38:G38"/>
    <mergeCell ref="F44:G44"/>
    <mergeCell ref="I44:K44"/>
    <mergeCell ref="L44:N44"/>
    <mergeCell ref="F45:G45"/>
    <mergeCell ref="I45:K45"/>
    <mergeCell ref="L45:N45"/>
    <mergeCell ref="W37:X37"/>
    <mergeCell ref="Y37:AA37"/>
    <mergeCell ref="AB37:AD37"/>
    <mergeCell ref="F48:G48"/>
    <mergeCell ref="I48:K48"/>
    <mergeCell ref="L48:N48"/>
    <mergeCell ref="F49:G49"/>
    <mergeCell ref="I49:K49"/>
    <mergeCell ref="L49:N49"/>
    <mergeCell ref="F46:G46"/>
    <mergeCell ref="I46:K46"/>
    <mergeCell ref="L46:N46"/>
    <mergeCell ref="F47:G47"/>
    <mergeCell ref="I47:K47"/>
    <mergeCell ref="L47:N47"/>
    <mergeCell ref="M71:N71"/>
    <mergeCell ref="F52:G52"/>
    <mergeCell ref="I52:K52"/>
    <mergeCell ref="L52:N52"/>
    <mergeCell ref="F53:G53"/>
    <mergeCell ref="I53:K53"/>
    <mergeCell ref="L53:N53"/>
    <mergeCell ref="F50:G50"/>
    <mergeCell ref="I50:K50"/>
    <mergeCell ref="L50:N50"/>
    <mergeCell ref="F51:G51"/>
    <mergeCell ref="I51:K51"/>
    <mergeCell ref="L51:N51"/>
    <mergeCell ref="T64:AD64"/>
    <mergeCell ref="AE64:AE65"/>
    <mergeCell ref="AF64:AP64"/>
    <mergeCell ref="I59:K59"/>
    <mergeCell ref="L59:N59"/>
    <mergeCell ref="A63:A65"/>
    <mergeCell ref="R63:R88"/>
    <mergeCell ref="C64:D64"/>
    <mergeCell ref="E64:G64"/>
    <mergeCell ref="H64:H65"/>
    <mergeCell ref="I64:I65"/>
    <mergeCell ref="J64:K65"/>
    <mergeCell ref="J68:K68"/>
    <mergeCell ref="J69:K69"/>
    <mergeCell ref="J66:K66"/>
    <mergeCell ref="J67:K67"/>
    <mergeCell ref="O64:P64"/>
    <mergeCell ref="J72:K72"/>
    <mergeCell ref="J73:K73"/>
    <mergeCell ref="M72:N72"/>
    <mergeCell ref="M73:N73"/>
    <mergeCell ref="J70:K70"/>
    <mergeCell ref="J71:K71"/>
    <mergeCell ref="M70:N70"/>
    <mergeCell ref="F74:G74"/>
    <mergeCell ref="F75:G75"/>
    <mergeCell ref="F76:G76"/>
    <mergeCell ref="F77:G77"/>
    <mergeCell ref="J80:K80"/>
    <mergeCell ref="J81:K81"/>
    <mergeCell ref="M80:N80"/>
    <mergeCell ref="M81:N81"/>
    <mergeCell ref="J78:K78"/>
    <mergeCell ref="J79:K79"/>
    <mergeCell ref="M78:N78"/>
    <mergeCell ref="M79:N79"/>
    <mergeCell ref="F78:G78"/>
    <mergeCell ref="F79:G79"/>
    <mergeCell ref="F80:G80"/>
    <mergeCell ref="F81:G81"/>
    <mergeCell ref="J76:K76"/>
    <mergeCell ref="J77:K77"/>
    <mergeCell ref="M76:N76"/>
    <mergeCell ref="M77:N77"/>
    <mergeCell ref="J74:K74"/>
    <mergeCell ref="J75:K75"/>
    <mergeCell ref="M74:N74"/>
    <mergeCell ref="M75:N75"/>
    <mergeCell ref="J84:K84"/>
    <mergeCell ref="J85:K85"/>
    <mergeCell ref="M84:N84"/>
    <mergeCell ref="M85:N85"/>
    <mergeCell ref="J82:K82"/>
    <mergeCell ref="J83:K83"/>
    <mergeCell ref="M82:N82"/>
    <mergeCell ref="M83:N83"/>
    <mergeCell ref="F82:G82"/>
    <mergeCell ref="F83:G83"/>
    <mergeCell ref="F84:G84"/>
    <mergeCell ref="F85:G85"/>
    <mergeCell ref="F72:G72"/>
    <mergeCell ref="F73:G73"/>
    <mergeCell ref="M86:N86"/>
    <mergeCell ref="R107:R138"/>
    <mergeCell ref="B108:E108"/>
    <mergeCell ref="B109:E109"/>
    <mergeCell ref="F109:H109"/>
    <mergeCell ref="L64:L65"/>
    <mergeCell ref="M64:N65"/>
    <mergeCell ref="M66:N66"/>
    <mergeCell ref="M67:N67"/>
    <mergeCell ref="M68:N68"/>
    <mergeCell ref="M69:N69"/>
    <mergeCell ref="B106:E106"/>
    <mergeCell ref="B107:E107"/>
    <mergeCell ref="B98:D98"/>
    <mergeCell ref="E98:I98"/>
    <mergeCell ref="R99:R106"/>
    <mergeCell ref="B102:D102"/>
    <mergeCell ref="B103:D104"/>
    <mergeCell ref="A91:Q93"/>
    <mergeCell ref="B97:D97"/>
    <mergeCell ref="E97:I97"/>
    <mergeCell ref="R89:R98"/>
    <mergeCell ref="I33:N33"/>
    <mergeCell ref="B64:B65"/>
    <mergeCell ref="F65:G65"/>
    <mergeCell ref="F66:G66"/>
    <mergeCell ref="F67:G67"/>
    <mergeCell ref="F68:G68"/>
    <mergeCell ref="F69:G69"/>
    <mergeCell ref="F70:G70"/>
    <mergeCell ref="F71:G71"/>
    <mergeCell ref="F58:G58"/>
    <mergeCell ref="I58:K58"/>
    <mergeCell ref="L58:N58"/>
    <mergeCell ref="F56:G56"/>
    <mergeCell ref="I56:K56"/>
    <mergeCell ref="L56:N56"/>
    <mergeCell ref="F57:G57"/>
    <mergeCell ref="I57:K57"/>
    <mergeCell ref="L57:N57"/>
    <mergeCell ref="F54:G54"/>
    <mergeCell ref="I54:K54"/>
    <mergeCell ref="L54:N54"/>
    <mergeCell ref="F55:G55"/>
    <mergeCell ref="I55:K55"/>
    <mergeCell ref="L55:N55"/>
    <mergeCell ref="AQ64:AQ65"/>
    <mergeCell ref="AR64:AV64"/>
    <mergeCell ref="T37:V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9:V9"/>
    <mergeCell ref="T10:U10"/>
    <mergeCell ref="T11:U11"/>
    <mergeCell ref="T12:U12"/>
    <mergeCell ref="T13:U13"/>
    <mergeCell ref="T14:U14"/>
    <mergeCell ref="T15:U15"/>
    <mergeCell ref="T16:U16"/>
    <mergeCell ref="T17:U17"/>
    <mergeCell ref="T27:U27"/>
    <mergeCell ref="T28:U28"/>
    <mergeCell ref="T29:U29"/>
    <mergeCell ref="T30:U30"/>
    <mergeCell ref="T18:U18"/>
    <mergeCell ref="T19:U19"/>
    <mergeCell ref="T20:U20"/>
    <mergeCell ref="T21:U21"/>
    <mergeCell ref="T22:U22"/>
    <mergeCell ref="T23:U23"/>
    <mergeCell ref="T24:U24"/>
    <mergeCell ref="T25:U25"/>
    <mergeCell ref="T26:U26"/>
  </mergeCells>
  <conditionalFormatting sqref="E66:E85">
    <cfRule type="cellIs" dxfId="65" priority="53" operator="equal">
      <formula>"Enhancement not possible"</formula>
    </cfRule>
  </conditionalFormatting>
  <conditionalFormatting sqref="E97:E98">
    <cfRule type="containsText" dxfId="64" priority="124" operator="containsText" text="Error - Trading Rules Not Satisfied">
      <formula>NOT(ISERROR(SEARCH("Error - Trading Rules Not Satisfied",E97)))</formula>
    </cfRule>
    <cfRule type="containsText" dxfId="63" priority="123" operator="containsText" text="Trading Rules Satisfied">
      <formula>NOT(ISERROR(SEARCH("Trading Rules Satisfied",E97)))</formula>
    </cfRule>
  </conditionalFormatting>
  <conditionalFormatting sqref="F39:F58">
    <cfRule type="expression" dxfId="62" priority="77">
      <formula>ISNUMBER(SEARCH(F39,E39,1))</formula>
    </cfRule>
    <cfRule type="containsBlanks" dxfId="61" priority="76" stopIfTrue="1">
      <formula>LEN(TRIM(F39))=0</formula>
    </cfRule>
  </conditionalFormatting>
  <conditionalFormatting sqref="F66:G85">
    <cfRule type="expression" dxfId="60" priority="52">
      <formula>$D66=""</formula>
    </cfRule>
  </conditionalFormatting>
  <conditionalFormatting sqref="I31">
    <cfRule type="cellIs" dxfId="59" priority="129" operator="greaterThan">
      <formula>5000</formula>
    </cfRule>
  </conditionalFormatting>
  <conditionalFormatting sqref="I86">
    <cfRule type="expression" dxfId="58" priority="100">
      <formula>"p18=""Avoid"""</formula>
    </cfRule>
    <cfRule type="cellIs" dxfId="57" priority="98" operator="equal">
      <formula>"Any loss Unacceptable"</formula>
    </cfRule>
  </conditionalFormatting>
  <conditionalFormatting sqref="I103:I104">
    <cfRule type="containsText" dxfId="56" priority="127" operator="containsText" text="Yes">
      <formula>NOT(ISERROR(SEARCH("Yes",I103)))</formula>
    </cfRule>
    <cfRule type="containsText" dxfId="55" priority="128" operator="containsText" text="No">
      <formula>NOT(ISERROR(SEARCH("No",I103)))</formula>
    </cfRule>
  </conditionalFormatting>
  <conditionalFormatting sqref="I107:I109">
    <cfRule type="containsText" dxfId="54" priority="122" operator="containsText" text="No">
      <formula>NOT(ISERROR(SEARCH("No",I107)))</formula>
    </cfRule>
    <cfRule type="containsText" dxfId="53" priority="121" operator="containsText" text="Yes">
      <formula>NOT(ISERROR(SEARCH("Yes",I107)))</formula>
    </cfRule>
  </conditionalFormatting>
  <conditionalFormatting sqref="I32:N32">
    <cfRule type="containsText" dxfId="52" priority="82" operator="containsText" text="error">
      <formula>NOT(ISERROR(SEARCH("error",I32)))</formula>
    </cfRule>
    <cfRule type="containsText" dxfId="51" priority="83" operator="containsText" text="acceptable">
      <formula>NOT(ISERROR(SEARCH("acceptable",I32)))</formula>
    </cfRule>
  </conditionalFormatting>
  <conditionalFormatting sqref="I33:N33">
    <cfRule type="containsText" dxfId="50" priority="3" operator="containsText" text="▲">
      <formula>NOT(ISERROR(SEARCH("▲",I33)))</formula>
    </cfRule>
    <cfRule type="containsText" dxfId="49" priority="4" operator="containsText" text=" 🗸">
      <formula>NOT(ISERROR(SEARCH(" 🗸",I33)))</formula>
    </cfRule>
  </conditionalFormatting>
  <conditionalFormatting sqref="J2 O6">
    <cfRule type="containsText" dxfId="48" priority="102" operator="containsText" text="Errors Present On Sheet">
      <formula>NOT(ISERROR(SEARCH("Errors Present On Sheet",J2)))</formula>
    </cfRule>
  </conditionalFormatting>
  <conditionalFormatting sqref="J2">
    <cfRule type="containsText" dxfId="47" priority="79" operator="containsText" text="Technical">
      <formula>NOT(ISERROR(SEARCH("Technical",J2)))</formula>
    </cfRule>
  </conditionalFormatting>
  <conditionalFormatting sqref="K11:K30">
    <cfRule type="expression" dxfId="46" priority="84">
      <formula>$AI11="Enhancement not possible"</formula>
    </cfRule>
  </conditionalFormatting>
  <conditionalFormatting sqref="L11:L30">
    <cfRule type="containsText" dxfId="45" priority="28" operator="containsText" text="value">
      <formula>NOT(ISERROR(SEARCH("value",L11)))</formula>
    </cfRule>
    <cfRule type="containsText" dxfId="44" priority="27" operator="containsText" text="▲">
      <formula>NOT(ISERROR(SEARCH("▲",L11)))</formula>
    </cfRule>
  </conditionalFormatting>
  <conditionalFormatting sqref="L86">
    <cfRule type="cellIs" dxfId="43" priority="95" operator="equal">
      <formula>"Any loss Unacceptable"</formula>
    </cfRule>
    <cfRule type="expression" dxfId="42" priority="97">
      <formula>"p18=""Avoid"""</formula>
    </cfRule>
  </conditionalFormatting>
  <conditionalFormatting sqref="L11:M30">
    <cfRule type="cellIs" dxfId="41" priority="40" operator="equal">
      <formula>"Any loss Unacceptable"</formula>
    </cfRule>
    <cfRule type="expression" dxfId="40" priority="42">
      <formula>"p18=""Avoid"""</formula>
    </cfRule>
  </conditionalFormatting>
  <conditionalFormatting sqref="L39:M58">
    <cfRule type="cellIs" dxfId="39" priority="19" operator="equal">
      <formula>"Compensation Agreed"</formula>
    </cfRule>
    <cfRule type="cellIs" dxfId="38" priority="18" operator="equal">
      <formula>"Unacceptable Loss"</formula>
    </cfRule>
    <cfRule type="cellIs" dxfId="37" priority="17" operator="equal">
      <formula>"Alternative Compensation"</formula>
    </cfRule>
  </conditionalFormatting>
  <conditionalFormatting sqref="L66:M85">
    <cfRule type="cellIs" dxfId="36" priority="6" operator="equal">
      <formula>"Alternative Compensation"</formula>
    </cfRule>
    <cfRule type="cellIs" dxfId="35" priority="7" operator="equal">
      <formula>"Unacceptable Loss"</formula>
    </cfRule>
    <cfRule type="cellIs" dxfId="34" priority="8" operator="equal">
      <formula>"Compensation Agreed"</formula>
    </cfRule>
  </conditionalFormatting>
  <conditionalFormatting sqref="L39:N58">
    <cfRule type="containsText" dxfId="33" priority="16" operator="containsText" text="value">
      <formula>NOT(ISERROR(SEARCH("value",L39)))</formula>
    </cfRule>
    <cfRule type="containsText" dxfId="32" priority="15" operator="containsText" text="▲">
      <formula>NOT(ISERROR(SEARCH("▲",L39)))</formula>
    </cfRule>
  </conditionalFormatting>
  <conditionalFormatting sqref="L66:N85">
    <cfRule type="containsText" dxfId="31" priority="1" operator="containsText" text="▲">
      <formula>NOT(ISERROR(SEARCH("▲",L66)))</formula>
    </cfRule>
  </conditionalFormatting>
  <conditionalFormatting sqref="M11:M30">
    <cfRule type="containsText" dxfId="30" priority="30" operator="containsText" text="error">
      <formula>NOT(ISERROR(SEARCH("error",M11)))</formula>
    </cfRule>
  </conditionalFormatting>
  <conditionalFormatting sqref="N11:N30">
    <cfRule type="containsText" dxfId="29" priority="26" operator="containsText" text="value">
      <formula>NOT(ISERROR(SEARCH("value",N11)))</formula>
    </cfRule>
    <cfRule type="cellIs" dxfId="28" priority="33" operator="equal">
      <formula>"Compensation Agreed"</formula>
    </cfRule>
    <cfRule type="cellIs" dxfId="27" priority="32" operator="equal">
      <formula>"Unacceptable Loss"</formula>
    </cfRule>
    <cfRule type="cellIs" dxfId="26" priority="31" operator="equal">
      <formula>"Alternative Compensation"</formula>
    </cfRule>
    <cfRule type="containsText" dxfId="25" priority="29" operator="containsText" text="▲">
      <formula>NOT(ISERROR(SEARCH("▲",N11)))</formula>
    </cfRule>
  </conditionalFormatting>
  <conditionalFormatting sqref="P1:P5">
    <cfRule type="containsText" dxfId="24" priority="2" operator="containsText" text="▲">
      <formula>NOT(ISERROR(SEARCH("▲",P1)))</formula>
    </cfRule>
  </conditionalFormatting>
  <conditionalFormatting sqref="X11:X30">
    <cfRule type="cellIs" dxfId="23" priority="154" operator="equal">
      <formula>"Not Possible"</formula>
    </cfRule>
  </conditionalFormatting>
  <conditionalFormatting sqref="X39:X58">
    <cfRule type="cellIs" dxfId="22" priority="101" operator="equal">
      <formula>"Not Possible"</formula>
    </cfRule>
  </conditionalFormatting>
  <conditionalFormatting sqref="AG11:AG30">
    <cfRule type="cellIs" dxfId="21" priority="151" operator="equal">
      <formula>"Unacceptable Loss"</formula>
    </cfRule>
  </conditionalFormatting>
  <conditionalFormatting sqref="AJ66:AJ85">
    <cfRule type="cellIs" dxfId="20" priority="54" operator="equal">
      <formula>"Not Possible"</formula>
    </cfRule>
  </conditionalFormatting>
  <dataValidations count="2">
    <dataValidation type="list" allowBlank="1" showInputMessage="1" showErrorMessage="1" sqref="D39:D58 D11:E30" xr:uid="{1BF46373-F28E-462B-8BA2-B0F689C17EF1}">
      <formula1>INDIRECT(SUBSTITUTE(C11," ",""))</formula1>
    </dataValidation>
    <dataValidation type="list" allowBlank="1" showInputMessage="1" showErrorMessage="1" sqref="F66:G85" xr:uid="{3EC7B8B2-4D6C-4FEC-A881-B24C8E3A3005}">
      <formula1>INDIRECT(BV66)</formula1>
    </dataValidation>
  </dataValidations>
  <pageMargins left="0.7" right="0.7" top="0.75" bottom="0.75" header="0.3" footer="0.3"/>
  <pageSetup paperSize="9" scale="25" orientation="portrait" r:id="rId1"/>
  <ignoredErrors>
    <ignoredError sqref="V11" evalError="1"/>
  </ignoredErrors>
  <extLst>
    <ext xmlns:x14="http://schemas.microsoft.com/office/spreadsheetml/2009/9/main" uri="{CCE6A557-97BC-4b89-ADB6-D9C93CAAB3DF}">
      <x14:dataValidations xmlns:xm="http://schemas.microsoft.com/office/excel/2006/main" count="4">
        <x14:dataValidation type="list" allowBlank="1" showInputMessage="1" showErrorMessage="1" xr:uid="{4E1F5520-5AED-461C-8F50-C8F4D010C136}">
          <x14:formula1>
            <xm:f>'11. Lists'!$F$36:$F$37</xm:f>
          </x14:formula1>
          <xm:sqref>H66:H85</xm:sqref>
        </x14:dataValidation>
        <x14:dataValidation type="list" allowBlank="1" showInputMessage="1" showErrorMessage="1" xr:uid="{3093539A-51A3-4FE7-A4D0-FB77CE23015D}">
          <x14:formula1>
            <xm:f>'11. Lists'!$F$47:$F$51</xm:f>
          </x14:formula1>
          <xm:sqref>F39:F58</xm:sqref>
        </x14:dataValidation>
        <x14:dataValidation type="list" allowBlank="1" showInputMessage="1" showErrorMessage="1" xr:uid="{A4297FD4-C481-4406-BA47-BDF76680FB83}">
          <x14:formula1>
            <xm:f>IF(D11="Culvert",'11. Lists'!$F$37,'11. Lists'!$F$36:$F$37)</xm:f>
          </x14:formula1>
          <xm:sqref>F11:H30</xm:sqref>
        </x14:dataValidation>
        <x14:dataValidation type="list" allowBlank="1" showInputMessage="1" showErrorMessage="1" xr:uid="{9A9AEF08-6348-4F81-B09C-2D7F56A77CE4}">
          <x14:formula1>
            <xm:f>IF(D39="Culvert",'11. Lists'!$F$37,'11. Lists'!$F$36:$F$37)</xm:f>
          </x14:formula1>
          <xm:sqref>H39:H58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0743-8657-4010-ADC8-C713B63CD1F8}">
  <sheetPr codeName="Sheet8">
    <tabColor rgb="FFFFC000"/>
    <pageSetUpPr fitToPage="1"/>
  </sheetPr>
  <dimension ref="A1:AF74"/>
  <sheetViews>
    <sheetView showRowColHeaders="0" zoomScale="80" zoomScaleNormal="80" workbookViewId="0">
      <selection activeCell="F24" sqref="F24"/>
    </sheetView>
  </sheetViews>
  <sheetFormatPr defaultColWidth="0" defaultRowHeight="15" zeroHeight="1" x14ac:dyDescent="0.25"/>
  <cols>
    <col min="1" max="1" width="14.140625" customWidth="1"/>
    <col min="2" max="2" width="30.5703125" customWidth="1"/>
    <col min="3" max="3" width="45.28515625" customWidth="1"/>
    <col min="4" max="4" width="76.42578125" customWidth="1"/>
    <col min="5" max="5" width="8.7109375" customWidth="1"/>
    <col min="6" max="6" width="19.5703125" customWidth="1"/>
    <col min="7" max="7" width="29.140625" hidden="1" customWidth="1"/>
    <col min="8" max="9" width="10.7109375" hidden="1" customWidth="1"/>
    <col min="10" max="10" width="15" hidden="1" customWidth="1"/>
    <col min="11" max="11" width="10.28515625" hidden="1" customWidth="1"/>
    <col min="12" max="16" width="8.85546875" hidden="1" customWidth="1"/>
    <col min="17" max="17" width="11.5703125" hidden="1" customWidth="1"/>
    <col min="18" max="18" width="8.85546875" hidden="1" customWidth="1"/>
    <col min="19" max="19" width="11.140625" hidden="1" customWidth="1"/>
    <col min="20" max="24" width="8.85546875" hidden="1" customWidth="1"/>
    <col min="25" max="32" width="0" hidden="1" customWidth="1"/>
    <col min="33" max="16384" width="8.85546875" hidden="1"/>
  </cols>
  <sheetData>
    <row r="1" spans="1:24" ht="15.75" thickBot="1" x14ac:dyDescent="0.3">
      <c r="A1" s="26"/>
      <c r="B1" s="26"/>
      <c r="C1" s="26"/>
      <c r="D1" s="26"/>
      <c r="E1" s="26"/>
      <c r="F1" s="26"/>
      <c r="G1" s="26"/>
      <c r="H1" s="26"/>
      <c r="I1" s="26"/>
      <c r="J1" s="26"/>
      <c r="K1" s="26"/>
      <c r="L1" s="26"/>
      <c r="M1" s="26"/>
      <c r="N1" s="26"/>
      <c r="O1" s="26"/>
      <c r="P1" s="26"/>
      <c r="Q1" s="26"/>
      <c r="R1" s="26"/>
      <c r="S1" s="26"/>
      <c r="T1" s="26"/>
      <c r="U1" s="26"/>
      <c r="V1" s="26"/>
      <c r="W1" s="26"/>
      <c r="X1" s="26"/>
    </row>
    <row r="2" spans="1:24" ht="24.6" customHeight="1" x14ac:dyDescent="0.3">
      <c r="A2" s="26"/>
      <c r="B2" s="584" t="s">
        <v>1011</v>
      </c>
      <c r="C2" s="585"/>
      <c r="D2" s="574" t="str">
        <f>IF('2. Site Details'!D4="","Enter site name on 2. Site Details",'2. Site Details'!D4)</f>
        <v>Land to Rear of 32 Church Street, Weldon</v>
      </c>
      <c r="E2" s="575"/>
      <c r="F2" s="26"/>
      <c r="G2" s="53"/>
      <c r="H2" s="53"/>
      <c r="I2" s="53"/>
      <c r="J2" s="53"/>
      <c r="K2" s="53"/>
      <c r="L2" s="53"/>
      <c r="M2" s="53"/>
      <c r="N2" s="53"/>
      <c r="O2" s="53"/>
      <c r="P2" s="53"/>
      <c r="Q2" s="53"/>
      <c r="R2" s="53"/>
      <c r="S2" s="53"/>
      <c r="T2" s="53"/>
      <c r="U2" s="53"/>
      <c r="V2" s="53"/>
      <c r="W2" s="53"/>
      <c r="X2" s="26"/>
    </row>
    <row r="3" spans="1:24" ht="24.6" customHeight="1" thickBot="1" x14ac:dyDescent="0.35">
      <c r="A3" s="26"/>
      <c r="B3" s="582" t="s">
        <v>7</v>
      </c>
      <c r="C3" s="583"/>
      <c r="D3" s="572" t="s">
        <v>202</v>
      </c>
      <c r="E3" s="573"/>
      <c r="F3" s="53"/>
      <c r="G3" s="53"/>
      <c r="H3" s="884"/>
      <c r="I3" s="884"/>
      <c r="J3" s="884"/>
      <c r="K3" s="884"/>
      <c r="L3" s="884"/>
      <c r="M3" s="884"/>
      <c r="N3" s="884"/>
      <c r="O3" s="884"/>
      <c r="P3" s="53"/>
      <c r="Q3" s="53"/>
      <c r="R3" s="53"/>
      <c r="S3" s="53"/>
      <c r="T3" s="53"/>
      <c r="U3" s="53"/>
      <c r="V3" s="53"/>
      <c r="W3" s="53"/>
      <c r="X3" s="26"/>
    </row>
    <row r="4" spans="1:24" ht="34.15" customHeight="1" thickBot="1" x14ac:dyDescent="0.3">
      <c r="A4" s="26"/>
      <c r="B4" s="57" t="s">
        <v>202</v>
      </c>
      <c r="C4" s="26"/>
      <c r="D4" s="26"/>
      <c r="E4" s="26"/>
      <c r="F4" s="53"/>
      <c r="G4" s="53"/>
      <c r="H4" s="53"/>
      <c r="I4" s="53"/>
      <c r="J4" s="53"/>
      <c r="K4" s="53"/>
      <c r="L4" s="53"/>
      <c r="M4" s="53"/>
      <c r="N4" s="53"/>
      <c r="O4" s="53"/>
      <c r="P4" s="53"/>
      <c r="Q4" s="53"/>
      <c r="R4" s="53"/>
      <c r="S4" s="53"/>
      <c r="T4" s="53"/>
      <c r="U4" s="53"/>
      <c r="V4" s="53"/>
      <c r="W4" s="53"/>
      <c r="X4" s="26"/>
    </row>
    <row r="5" spans="1:24" ht="24.6" customHeight="1" thickBot="1" x14ac:dyDescent="0.3">
      <c r="A5" s="26"/>
      <c r="B5" s="566" t="s">
        <v>203</v>
      </c>
      <c r="C5" s="893"/>
      <c r="D5" s="880" t="str">
        <f>IF(OR(D27&gt;0,D28&gt;0,D29&gt;0),"BNG Targets Not Met ▲","BNG Targets Met 🗸")</f>
        <v>BNG Targets Met 🗸</v>
      </c>
      <c r="E5" s="881"/>
      <c r="F5" s="53"/>
      <c r="G5" s="53"/>
      <c r="H5" s="53"/>
      <c r="I5" s="53"/>
      <c r="J5" s="53"/>
      <c r="K5" s="53"/>
      <c r="L5" s="53"/>
      <c r="M5" s="53"/>
      <c r="N5" s="53"/>
      <c r="O5" s="53"/>
      <c r="P5" s="53"/>
      <c r="Q5" s="53"/>
      <c r="R5" s="53"/>
      <c r="S5" s="53"/>
      <c r="T5" s="53"/>
      <c r="U5" s="53"/>
      <c r="V5" s="53"/>
      <c r="W5" s="53"/>
      <c r="X5" s="26"/>
    </row>
    <row r="6" spans="1:24" ht="24.6" customHeight="1" thickBot="1" x14ac:dyDescent="0.35">
      <c r="A6" s="26"/>
      <c r="B6" s="26"/>
      <c r="C6" s="26"/>
      <c r="D6" s="175"/>
      <c r="E6" s="175"/>
      <c r="F6" s="53"/>
      <c r="G6" s="53"/>
      <c r="H6" s="53"/>
      <c r="I6" s="53"/>
      <c r="J6" s="53"/>
      <c r="K6" s="53"/>
      <c r="L6" s="53"/>
      <c r="M6" s="53"/>
      <c r="N6" s="53"/>
      <c r="O6" s="53"/>
      <c r="P6" s="53"/>
      <c r="Q6" s="53"/>
      <c r="R6" s="53"/>
      <c r="S6" s="53"/>
      <c r="T6" s="53"/>
      <c r="U6" s="53"/>
      <c r="V6" s="53"/>
      <c r="W6" s="53"/>
      <c r="X6" s="26"/>
    </row>
    <row r="7" spans="1:24" ht="24.6" customHeight="1" thickBot="1" x14ac:dyDescent="0.3">
      <c r="A7" s="26"/>
      <c r="B7" s="566" t="s">
        <v>214</v>
      </c>
      <c r="C7" s="567"/>
      <c r="D7" s="877" t="str">
        <f>IF('5. Area Habitats'!J108+'5. Area Habitats'!J109+'6. Hedges &amp; Lines of Trees'!J97+'6. Hedges &amp; Lines of Trees'!J98+'7. Watercourses'!J97+'7. Watercourses'!J98&gt;0,"Trading Rules Not Satisfied ▲","Trading Rules Satisfied 🗸")</f>
        <v>Trading Rules Satisfied 🗸</v>
      </c>
      <c r="E7" s="878"/>
      <c r="F7" s="53"/>
      <c r="G7" s="440"/>
      <c r="H7" s="441"/>
      <c r="I7" s="442"/>
      <c r="J7" s="53"/>
      <c r="K7" s="53"/>
      <c r="L7" s="53"/>
      <c r="M7" s="53"/>
      <c r="N7" s="53"/>
      <c r="O7" s="53"/>
      <c r="P7" s="53"/>
      <c r="Q7" s="53"/>
      <c r="R7" s="53"/>
      <c r="S7" s="53"/>
      <c r="T7" s="53"/>
      <c r="U7" s="53"/>
      <c r="V7" s="53"/>
      <c r="W7" s="53"/>
      <c r="X7" s="26"/>
    </row>
    <row r="8" spans="1:24" ht="24.6" customHeight="1" thickBot="1" x14ac:dyDescent="0.35">
      <c r="A8" s="26"/>
      <c r="B8" s="26"/>
      <c r="C8" s="26"/>
      <c r="D8" s="175"/>
      <c r="E8" s="175"/>
      <c r="F8" s="53"/>
      <c r="G8" s="53"/>
      <c r="H8" s="53"/>
      <c r="I8" s="53"/>
      <c r="J8" s="53"/>
      <c r="K8" s="53"/>
      <c r="L8" s="53"/>
      <c r="M8" s="53"/>
      <c r="N8" s="53"/>
      <c r="O8" s="53"/>
      <c r="P8" s="53"/>
      <c r="Q8" s="53"/>
      <c r="R8" s="53"/>
      <c r="S8" s="53"/>
      <c r="T8" s="53"/>
      <c r="U8" s="53"/>
      <c r="V8" s="53"/>
      <c r="W8" s="53"/>
      <c r="X8" s="26"/>
    </row>
    <row r="9" spans="1:24" ht="24.6" customHeight="1" thickBot="1" x14ac:dyDescent="0.3">
      <c r="A9" s="26"/>
      <c r="B9" s="566" t="s">
        <v>204</v>
      </c>
      <c r="C9" s="893"/>
      <c r="D9" s="880" t="str">
        <f>IF(OR(D5="BNG Targets Not Met ▲",D7="Trading Rules Not Satisfied ▲"),"Scheme alterations or offsite units required","Submit metric to LPA")</f>
        <v>Submit metric to LPA</v>
      </c>
      <c r="E9" s="881"/>
      <c r="F9" s="53"/>
      <c r="G9" s="30"/>
      <c r="H9" s="30"/>
      <c r="I9" s="30"/>
      <c r="J9" s="30"/>
      <c r="K9" s="30"/>
      <c r="L9" s="30"/>
      <c r="M9" s="30"/>
      <c r="N9" s="30"/>
      <c r="O9" s="30"/>
      <c r="P9" s="30"/>
      <c r="Q9" s="55"/>
      <c r="R9" s="30"/>
      <c r="S9" s="53"/>
      <c r="T9" s="53"/>
      <c r="U9" s="53"/>
      <c r="V9" s="53"/>
      <c r="W9" s="53"/>
      <c r="X9" s="26"/>
    </row>
    <row r="10" spans="1:24" ht="43.5" customHeight="1" thickBot="1" x14ac:dyDescent="0.3">
      <c r="A10" s="26"/>
      <c r="B10" s="26"/>
      <c r="C10" s="26"/>
      <c r="D10" s="879" t="str">
        <f>IF(D9="Scheme alterations or offsite units required", "If BNG targets cannot be reached on-site, the main Biodiversity Metric 4.0 should be used.", " ")</f>
        <v xml:space="preserve"> </v>
      </c>
      <c r="E10" s="879"/>
      <c r="F10" s="53"/>
      <c r="G10" s="30"/>
      <c r="H10" s="30"/>
      <c r="I10" s="30"/>
      <c r="J10" s="30"/>
      <c r="K10" s="30"/>
      <c r="L10" s="30"/>
      <c r="M10" s="30"/>
      <c r="N10" s="30"/>
      <c r="O10" s="30"/>
      <c r="P10" s="30"/>
      <c r="Q10" s="55"/>
      <c r="R10" s="30"/>
      <c r="S10" s="53"/>
      <c r="T10" s="53"/>
      <c r="U10" s="53"/>
      <c r="V10" s="53"/>
      <c r="W10" s="53"/>
      <c r="X10" s="26"/>
    </row>
    <row r="11" spans="1:24" ht="24.6" customHeight="1" x14ac:dyDescent="0.25">
      <c r="A11" s="26"/>
      <c r="B11" s="874" t="s">
        <v>951</v>
      </c>
      <c r="C11" s="307" t="s">
        <v>206</v>
      </c>
      <c r="D11" s="426">
        <f>IF('5. Area Habitats'!L32=0,"Zero Units Baseline",'5. Area Habitats'!L32)</f>
        <v>0.76270502399999984</v>
      </c>
      <c r="E11" s="333"/>
      <c r="F11" s="53"/>
      <c r="G11" s="432"/>
      <c r="H11" s="30"/>
      <c r="I11" s="30"/>
      <c r="J11" s="30"/>
      <c r="K11" s="30"/>
      <c r="L11" s="30"/>
      <c r="M11" s="30"/>
      <c r="N11" s="30"/>
      <c r="O11" s="30"/>
      <c r="P11" s="30"/>
      <c r="Q11" s="55"/>
      <c r="R11" s="30"/>
      <c r="S11" s="53"/>
      <c r="T11" s="53"/>
      <c r="U11" s="53"/>
      <c r="V11" s="53"/>
      <c r="W11" s="53"/>
      <c r="X11" s="26"/>
    </row>
    <row r="12" spans="1:24" ht="24.6" customHeight="1" x14ac:dyDescent="0.25">
      <c r="A12" s="26"/>
      <c r="B12" s="875"/>
      <c r="C12" s="308" t="s">
        <v>207</v>
      </c>
      <c r="D12" s="427" t="str">
        <f>IF('6. Hedges &amp; Lines of Trees'!L31=0,"Zero Units Baseline",'6. Hedges &amp; Lines of Trees'!L31)</f>
        <v>Zero Units Baseline</v>
      </c>
      <c r="E12" s="334"/>
      <c r="F12" s="53"/>
      <c r="G12" s="433"/>
      <c r="H12" s="30"/>
      <c r="I12" s="30"/>
      <c r="J12" s="30"/>
      <c r="K12" s="30"/>
      <c r="L12" s="30"/>
      <c r="M12" s="30"/>
      <c r="N12" s="30"/>
      <c r="O12" s="30"/>
      <c r="P12" s="30"/>
      <c r="Q12" s="55"/>
      <c r="R12" s="30"/>
      <c r="S12" s="53"/>
      <c r="T12" s="53"/>
      <c r="U12" s="53"/>
      <c r="V12" s="53"/>
      <c r="W12" s="53"/>
      <c r="X12" s="26"/>
    </row>
    <row r="13" spans="1:24" ht="24.6" customHeight="1" thickBot="1" x14ac:dyDescent="0.3">
      <c r="A13" s="26"/>
      <c r="B13" s="876"/>
      <c r="C13" s="309" t="s">
        <v>208</v>
      </c>
      <c r="D13" s="435" t="str">
        <f>IF('7. Watercourses'!L31=0,"Zero Units Baseline",'7. Watercourses'!L31)</f>
        <v>Zero Units Baseline</v>
      </c>
      <c r="E13" s="436"/>
      <c r="F13" s="53"/>
      <c r="G13" s="434"/>
      <c r="H13" s="30"/>
      <c r="I13" s="30"/>
      <c r="J13" s="30"/>
      <c r="K13" s="30"/>
      <c r="L13" s="30"/>
      <c r="M13" s="30"/>
      <c r="N13" s="30"/>
      <c r="O13" s="30"/>
      <c r="P13" s="30"/>
      <c r="Q13" s="55"/>
      <c r="R13" s="30"/>
      <c r="S13" s="53"/>
      <c r="T13" s="53"/>
      <c r="U13" s="53"/>
      <c r="V13" s="53"/>
      <c r="W13" s="53"/>
      <c r="X13" s="26"/>
    </row>
    <row r="14" spans="1:24" ht="24.6" customHeight="1" thickBot="1" x14ac:dyDescent="0.35">
      <c r="A14" s="26"/>
      <c r="B14" s="26"/>
      <c r="C14" s="26"/>
      <c r="D14" s="175"/>
      <c r="E14" s="175"/>
      <c r="F14" s="53"/>
      <c r="G14" s="30"/>
      <c r="H14" s="30"/>
      <c r="I14" s="30"/>
      <c r="J14" s="30"/>
      <c r="K14" s="30"/>
      <c r="L14" s="30"/>
      <c r="M14" s="30"/>
      <c r="N14" s="30"/>
      <c r="O14" s="30"/>
      <c r="P14" s="30"/>
      <c r="Q14" s="55"/>
      <c r="R14" s="30"/>
      <c r="S14" s="53"/>
      <c r="T14" s="53"/>
      <c r="U14" s="53"/>
      <c r="V14" s="53"/>
      <c r="W14" s="53"/>
      <c r="X14" s="26"/>
    </row>
    <row r="15" spans="1:24" ht="24.6" customHeight="1" x14ac:dyDescent="0.25">
      <c r="A15" s="26"/>
      <c r="B15" s="874" t="s">
        <v>952</v>
      </c>
      <c r="C15" s="307" t="s">
        <v>206</v>
      </c>
      <c r="D15" s="426">
        <f>'5. Area Habitats'!P3+'5. Area Habitats'!P4+'5. Area Habitats'!P1</f>
        <v>0.8565975300781592</v>
      </c>
      <c r="E15" s="333"/>
      <c r="F15" s="53"/>
      <c r="G15" s="30"/>
      <c r="H15" s="30"/>
      <c r="I15" s="30"/>
      <c r="J15" s="30"/>
      <c r="K15" s="30"/>
      <c r="L15" s="30"/>
      <c r="M15" s="30"/>
      <c r="N15" s="30"/>
      <c r="O15" s="30"/>
      <c r="P15" s="30"/>
      <c r="Q15" s="55"/>
      <c r="R15" s="30"/>
      <c r="S15" s="53"/>
      <c r="T15" s="53"/>
      <c r="U15" s="53"/>
      <c r="V15" s="53"/>
      <c r="W15" s="53"/>
      <c r="X15" s="26"/>
    </row>
    <row r="16" spans="1:24" ht="24.6" customHeight="1" x14ac:dyDescent="0.25">
      <c r="A16" s="26"/>
      <c r="B16" s="875"/>
      <c r="C16" s="308" t="s">
        <v>207</v>
      </c>
      <c r="D16" s="427">
        <f>'6. Hedges &amp; Lines of Trees'!P3+'6. Hedges &amp; Lines of Trees'!P4+'6. Hedges &amp; Lines of Trees'!P1</f>
        <v>0</v>
      </c>
      <c r="E16" s="334"/>
      <c r="F16" s="53"/>
      <c r="G16" s="30"/>
      <c r="H16" s="30"/>
      <c r="I16" s="30"/>
      <c r="J16" s="30"/>
      <c r="K16" s="30"/>
      <c r="L16" s="30"/>
      <c r="M16" s="30"/>
      <c r="N16" s="30"/>
      <c r="O16" s="30"/>
      <c r="P16" s="30"/>
      <c r="Q16" s="55"/>
      <c r="R16" s="30"/>
      <c r="S16" s="53"/>
      <c r="T16" s="53"/>
      <c r="U16" s="53"/>
      <c r="V16" s="53"/>
      <c r="W16" s="53"/>
      <c r="X16" s="26"/>
    </row>
    <row r="17" spans="1:24" ht="24.6" customHeight="1" thickBot="1" x14ac:dyDescent="0.3">
      <c r="A17" s="26"/>
      <c r="B17" s="876"/>
      <c r="C17" s="309" t="s">
        <v>208</v>
      </c>
      <c r="D17" s="435">
        <f>'7. Watercourses'!P3+'7. Watercourses'!P4+'7. Watercourses'!P1</f>
        <v>0</v>
      </c>
      <c r="E17" s="436"/>
      <c r="F17" s="53"/>
      <c r="G17" s="30"/>
      <c r="H17" s="30"/>
      <c r="I17" s="30"/>
      <c r="J17" s="30"/>
      <c r="K17" s="30"/>
      <c r="L17" s="30"/>
      <c r="M17" s="30"/>
      <c r="N17" s="30"/>
      <c r="O17" s="30"/>
      <c r="P17" s="30"/>
      <c r="Q17" s="55"/>
      <c r="R17" s="30"/>
      <c r="S17" s="53"/>
      <c r="T17" s="53"/>
      <c r="U17" s="53"/>
      <c r="V17" s="53"/>
      <c r="W17" s="53"/>
      <c r="X17" s="26"/>
    </row>
    <row r="18" spans="1:24" ht="24.6" customHeight="1" thickBot="1" x14ac:dyDescent="0.35">
      <c r="A18" s="26"/>
      <c r="B18" s="26"/>
      <c r="C18" s="26"/>
      <c r="D18" s="175"/>
      <c r="E18" s="175"/>
      <c r="F18" s="53"/>
      <c r="G18" s="30"/>
      <c r="H18" s="30"/>
      <c r="I18" s="30"/>
      <c r="J18" s="30"/>
      <c r="K18" s="30"/>
      <c r="L18" s="30"/>
      <c r="M18" s="30"/>
      <c r="N18" s="30"/>
      <c r="O18" s="30"/>
      <c r="P18" s="30"/>
      <c r="Q18" s="55"/>
      <c r="R18" s="30"/>
      <c r="S18" s="53"/>
      <c r="T18" s="53"/>
      <c r="U18" s="53"/>
      <c r="V18" s="53"/>
      <c r="W18" s="53"/>
      <c r="X18" s="26"/>
    </row>
    <row r="19" spans="1:24" ht="24.6" customHeight="1" x14ac:dyDescent="0.25">
      <c r="A19" s="26"/>
      <c r="B19" s="874" t="s">
        <v>205</v>
      </c>
      <c r="C19" s="307" t="s">
        <v>206</v>
      </c>
      <c r="D19" s="325">
        <f>'5. Area Habitats'!P5</f>
        <v>9.3892506078159355E-2</v>
      </c>
      <c r="E19" s="328" t="str">
        <f>IF(D27&lt;=0,"🗸","▲")</f>
        <v>🗸</v>
      </c>
      <c r="F19" s="174"/>
      <c r="G19" s="30"/>
      <c r="H19" s="30"/>
      <c r="I19" s="30"/>
      <c r="J19" s="30"/>
      <c r="K19" s="30"/>
      <c r="L19" s="30"/>
      <c r="M19" s="30"/>
      <c r="N19" s="30"/>
      <c r="O19" s="30"/>
      <c r="P19" s="30"/>
      <c r="Q19" s="55"/>
      <c r="R19" s="30"/>
      <c r="S19" s="53"/>
      <c r="T19" s="53"/>
      <c r="U19" s="53"/>
      <c r="V19" s="53"/>
      <c r="W19" s="53"/>
      <c r="X19" s="26"/>
    </row>
    <row r="20" spans="1:24" ht="24.6" customHeight="1" x14ac:dyDescent="0.25">
      <c r="A20" s="26"/>
      <c r="B20" s="875"/>
      <c r="C20" s="308" t="s">
        <v>207</v>
      </c>
      <c r="D20" s="326">
        <f>'6. Hedges &amp; Lines of Trees'!P5</f>
        <v>0</v>
      </c>
      <c r="E20" s="329" t="str">
        <f>IF(D28&lt;=0,"🗸","▲")</f>
        <v>🗸</v>
      </c>
      <c r="F20" s="174"/>
      <c r="G20" s="30"/>
      <c r="H20" s="30"/>
      <c r="I20" s="30"/>
      <c r="J20" s="30"/>
      <c r="K20" s="30"/>
      <c r="L20" s="30"/>
      <c r="M20" s="30"/>
      <c r="N20" s="30"/>
      <c r="O20" s="30"/>
      <c r="P20" s="30"/>
      <c r="Q20" s="55"/>
      <c r="R20" s="30"/>
      <c r="S20" s="53"/>
      <c r="T20" s="53"/>
      <c r="U20" s="53"/>
      <c r="V20" s="53"/>
      <c r="W20" s="53"/>
      <c r="X20" s="26"/>
    </row>
    <row r="21" spans="1:24" ht="24.6" customHeight="1" thickBot="1" x14ac:dyDescent="0.3">
      <c r="A21" s="26"/>
      <c r="B21" s="876"/>
      <c r="C21" s="309" t="s">
        <v>208</v>
      </c>
      <c r="D21" s="327">
        <f>'7. Watercourses'!P5</f>
        <v>0</v>
      </c>
      <c r="E21" s="330" t="str">
        <f>IF(D29&lt;=0,"🗸","▲")</f>
        <v>🗸</v>
      </c>
      <c r="F21" s="174"/>
      <c r="G21" s="30"/>
      <c r="H21" s="30"/>
      <c r="I21" s="30"/>
      <c r="J21" s="30"/>
      <c r="K21" s="30"/>
      <c r="L21" s="30"/>
      <c r="M21" s="30"/>
      <c r="N21" s="30"/>
      <c r="O21" s="30"/>
      <c r="P21" s="30"/>
      <c r="Q21" s="55"/>
      <c r="R21" s="30"/>
      <c r="S21" s="53"/>
      <c r="T21" s="53"/>
      <c r="U21" s="53"/>
      <c r="V21" s="53"/>
      <c r="W21" s="53"/>
      <c r="X21" s="26"/>
    </row>
    <row r="22" spans="1:24" ht="24.6" customHeight="1" thickBot="1" x14ac:dyDescent="0.35">
      <c r="A22" s="26"/>
      <c r="B22" s="28"/>
      <c r="C22" s="152"/>
      <c r="D22" s="41"/>
      <c r="E22" s="468"/>
      <c r="F22" s="53"/>
      <c r="G22" s="30"/>
      <c r="H22" s="30"/>
      <c r="I22" s="30"/>
      <c r="J22" s="30"/>
      <c r="K22" s="30"/>
      <c r="L22" s="30"/>
      <c r="M22" s="30"/>
      <c r="N22" s="30"/>
      <c r="O22" s="30"/>
      <c r="P22" s="30"/>
      <c r="Q22" s="55"/>
      <c r="R22" s="30"/>
      <c r="S22" s="53"/>
      <c r="T22" s="53"/>
      <c r="U22" s="53"/>
      <c r="V22" s="53"/>
      <c r="W22" s="53"/>
      <c r="X22" s="26"/>
    </row>
    <row r="23" spans="1:24" ht="24.6" customHeight="1" x14ac:dyDescent="0.25">
      <c r="A23" s="26"/>
      <c r="B23" s="724" t="s">
        <v>209</v>
      </c>
      <c r="C23" s="307" t="s">
        <v>206</v>
      </c>
      <c r="D23" s="331">
        <f>IF(D11="Zero Units Baseline","% target not appropriate",D19/D11)</f>
        <v>0.12310461203695883</v>
      </c>
      <c r="E23" s="328" t="str">
        <f>IF(D23="% target not appropriate"," ",IF(D23&gt;0.1,"🗸","▲"))</f>
        <v>🗸</v>
      </c>
      <c r="F23" s="53"/>
      <c r="G23" s="30"/>
      <c r="H23" s="30"/>
      <c r="I23" s="30"/>
      <c r="J23" s="30"/>
      <c r="K23" s="30"/>
      <c r="L23" s="30"/>
      <c r="M23" s="30"/>
      <c r="N23" s="30"/>
      <c r="O23" s="30"/>
      <c r="P23" s="30"/>
      <c r="Q23" s="55"/>
      <c r="R23" s="30"/>
      <c r="S23" s="53"/>
      <c r="T23" s="53"/>
      <c r="U23" s="53"/>
      <c r="V23" s="53"/>
      <c r="W23" s="53"/>
      <c r="X23" s="26"/>
    </row>
    <row r="24" spans="1:24" ht="24.6" customHeight="1" x14ac:dyDescent="0.25">
      <c r="A24" s="26"/>
      <c r="B24" s="885"/>
      <c r="C24" s="308" t="s">
        <v>207</v>
      </c>
      <c r="D24" s="332" t="str">
        <f t="shared" ref="D24:D25" si="0">IF(D12="Zero Units Baseline","% target not appropriate",D20/D12)</f>
        <v>% target not appropriate</v>
      </c>
      <c r="E24" s="329" t="str">
        <f>IF(D24="% target not appropriate"," ",IF(D24&gt;0.1,"🗸","▲"))</f>
        <v xml:space="preserve"> </v>
      </c>
      <c r="F24" s="53"/>
      <c r="G24" s="30"/>
      <c r="H24" s="30"/>
      <c r="I24" s="30"/>
      <c r="J24" s="30"/>
      <c r="K24" s="30"/>
      <c r="L24" s="30"/>
      <c r="M24" s="30"/>
      <c r="N24" s="30"/>
      <c r="O24" s="30"/>
      <c r="P24" s="30"/>
      <c r="Q24" s="55"/>
      <c r="R24" s="30"/>
      <c r="S24" s="53"/>
      <c r="T24" s="53"/>
      <c r="U24" s="53"/>
      <c r="V24" s="53"/>
      <c r="W24" s="53"/>
      <c r="X24" s="26"/>
    </row>
    <row r="25" spans="1:24" ht="24.6" customHeight="1" thickBot="1" x14ac:dyDescent="0.3">
      <c r="A25" s="26"/>
      <c r="B25" s="886"/>
      <c r="C25" s="309" t="s">
        <v>208</v>
      </c>
      <c r="D25" s="438" t="str">
        <f t="shared" si="0"/>
        <v>% target not appropriate</v>
      </c>
      <c r="E25" s="437" t="str">
        <f>IF(D25="% target not appropriate"," ",IF(D25&gt;0.1,"🗸","▲"))</f>
        <v xml:space="preserve"> </v>
      </c>
      <c r="F25" s="53"/>
      <c r="G25" s="30"/>
      <c r="H25" s="30"/>
      <c r="I25" s="30"/>
      <c r="J25" s="30"/>
      <c r="K25" s="30"/>
      <c r="L25" s="30"/>
      <c r="M25" s="30"/>
      <c r="N25" s="30"/>
      <c r="O25" s="30"/>
      <c r="P25" s="30"/>
      <c r="Q25" s="55"/>
      <c r="R25" s="30"/>
      <c r="S25" s="53"/>
      <c r="T25" s="53"/>
      <c r="U25" s="53"/>
      <c r="V25" s="53"/>
      <c r="W25" s="53"/>
      <c r="X25" s="26"/>
    </row>
    <row r="26" spans="1:24" ht="24.6" customHeight="1" thickBot="1" x14ac:dyDescent="0.35">
      <c r="A26" s="26"/>
      <c r="B26" s="26"/>
      <c r="C26" s="26"/>
      <c r="D26" s="175"/>
      <c r="E26" s="175"/>
      <c r="F26" s="53"/>
      <c r="G26" s="30"/>
      <c r="H26" s="30"/>
      <c r="I26" s="30"/>
      <c r="J26" s="30"/>
      <c r="K26" s="30"/>
      <c r="L26" s="30"/>
      <c r="M26" s="30"/>
      <c r="N26" s="30"/>
      <c r="O26" s="30"/>
      <c r="P26" s="30"/>
      <c r="Q26" s="55"/>
      <c r="R26" s="30"/>
      <c r="S26" s="53"/>
      <c r="T26" s="53"/>
      <c r="U26" s="53"/>
      <c r="V26" s="53"/>
      <c r="W26" s="53"/>
      <c r="X26" s="26"/>
    </row>
    <row r="27" spans="1:24" ht="24.6" customHeight="1" x14ac:dyDescent="0.25">
      <c r="A27" s="26"/>
      <c r="B27" s="891" t="s">
        <v>210</v>
      </c>
      <c r="C27" s="892"/>
      <c r="D27" s="894">
        <f>IFERROR(IF(D11="Zero Units Baseline",IF('2. Site Details'!D17&lt;=D15,0,'2. Site Details'!D17-D15),(IF((D11*(1+('2. Site Details'!D13/100)))-D15&lt;0,0,D11-D15))),"")</f>
        <v>0</v>
      </c>
      <c r="E27" s="895"/>
      <c r="F27" s="53"/>
      <c r="G27" s="30"/>
      <c r="H27" s="30"/>
      <c r="I27" s="30"/>
      <c r="J27" s="30"/>
      <c r="K27" s="30"/>
      <c r="L27" s="30"/>
      <c r="M27" s="30"/>
      <c r="N27" s="30"/>
      <c r="O27" s="30"/>
      <c r="P27" s="30"/>
      <c r="Q27" s="55"/>
      <c r="R27" s="30"/>
      <c r="S27" s="53"/>
      <c r="T27" s="53"/>
      <c r="U27" s="53"/>
      <c r="V27" s="53"/>
      <c r="W27" s="53"/>
      <c r="X27" s="26"/>
    </row>
    <row r="28" spans="1:24" ht="24.6" customHeight="1" x14ac:dyDescent="0.25">
      <c r="A28" s="26"/>
      <c r="B28" s="889" t="s">
        <v>211</v>
      </c>
      <c r="C28" s="890"/>
      <c r="D28" s="894">
        <f>IFERROR(IF(D12="Zero Units Baseline",IF('2. Site Details'!D18&lt;=D16,0,'2. Site Details'!D18-D16),(IF((D12*(1+('2. Site Details'!D14/100)))-D16&lt;0,0,D12-D16))),"")</f>
        <v>0</v>
      </c>
      <c r="E28" s="895"/>
      <c r="F28" s="53"/>
      <c r="G28" s="168"/>
      <c r="H28" s="30"/>
      <c r="I28" s="30"/>
      <c r="J28" s="30"/>
      <c r="K28" s="30"/>
      <c r="L28" s="30"/>
      <c r="M28" s="30"/>
      <c r="N28" s="30"/>
      <c r="O28" s="30"/>
      <c r="P28" s="30"/>
      <c r="Q28" s="55"/>
      <c r="R28" s="30"/>
      <c r="S28" s="53"/>
      <c r="T28" s="53"/>
      <c r="U28" s="53"/>
      <c r="V28" s="53"/>
      <c r="W28" s="53"/>
      <c r="X28" s="26"/>
    </row>
    <row r="29" spans="1:24" ht="24.6" customHeight="1" thickBot="1" x14ac:dyDescent="0.3">
      <c r="A29" s="26"/>
      <c r="B29" s="887" t="s">
        <v>212</v>
      </c>
      <c r="C29" s="888"/>
      <c r="D29" s="894">
        <f>IFERROR(IF(D13="Zero Units Baseline",IF('2. Site Details'!D19&lt;=D17,0,'2. Site Details'!D19-D17),(IF((D13*(1+('2. Site Details'!D15/100)))-D17&lt;0,0,D13-D17))),"")</f>
        <v>0</v>
      </c>
      <c r="E29" s="895"/>
      <c r="F29" s="53"/>
      <c r="G29" s="30"/>
      <c r="H29" s="30"/>
      <c r="I29" s="30"/>
      <c r="J29" s="30"/>
      <c r="K29" s="30"/>
      <c r="L29" s="30"/>
      <c r="M29" s="30"/>
      <c r="N29" s="30"/>
      <c r="O29" s="30"/>
      <c r="P29" s="30"/>
      <c r="Q29" s="55"/>
      <c r="R29" s="30"/>
      <c r="S29" s="53"/>
      <c r="T29" s="53"/>
      <c r="U29" s="53"/>
      <c r="V29" s="53"/>
      <c r="W29" s="53"/>
      <c r="X29" s="26"/>
    </row>
    <row r="30" spans="1:24" ht="10.15" customHeight="1" x14ac:dyDescent="0.3">
      <c r="A30" s="26"/>
      <c r="B30" s="26"/>
      <c r="C30" s="26"/>
      <c r="D30" s="175"/>
      <c r="E30" s="175"/>
      <c r="F30" s="53"/>
      <c r="G30" s="30"/>
      <c r="H30" s="30"/>
      <c r="I30" s="30"/>
      <c r="J30" s="30"/>
      <c r="K30" s="30"/>
      <c r="L30" s="30"/>
      <c r="M30" s="30"/>
      <c r="N30" s="30"/>
      <c r="O30" s="30"/>
      <c r="P30" s="30"/>
      <c r="Q30" s="55"/>
      <c r="R30" s="30"/>
      <c r="S30" s="53"/>
      <c r="T30" s="53"/>
      <c r="U30" s="53"/>
      <c r="V30" s="53"/>
      <c r="W30" s="53"/>
      <c r="X30" s="26"/>
    </row>
    <row r="31" spans="1:24" ht="19.899999999999999" customHeight="1" x14ac:dyDescent="0.3">
      <c r="A31" s="26"/>
      <c r="B31" s="57"/>
      <c r="C31" s="26"/>
      <c r="D31" s="175"/>
      <c r="E31" s="175"/>
      <c r="F31" s="53"/>
      <c r="G31" s="30"/>
      <c r="H31" s="30"/>
      <c r="I31" s="30"/>
      <c r="J31" s="30"/>
      <c r="K31" s="30"/>
      <c r="L31" s="30"/>
      <c r="M31" s="30"/>
      <c r="N31" s="30"/>
      <c r="O31" s="30"/>
      <c r="P31" s="30"/>
      <c r="Q31" s="55"/>
      <c r="R31" s="30"/>
      <c r="S31" s="53"/>
      <c r="T31" s="53"/>
      <c r="U31" s="53"/>
      <c r="V31" s="53"/>
      <c r="W31" s="53"/>
      <c r="X31" s="26"/>
    </row>
    <row r="32" spans="1:24" ht="9" customHeight="1" x14ac:dyDescent="0.3">
      <c r="A32" s="26"/>
      <c r="B32" s="26"/>
      <c r="C32" s="26"/>
      <c r="D32" s="175"/>
      <c r="E32" s="175"/>
      <c r="F32" s="53"/>
      <c r="G32" s="26"/>
      <c r="H32" s="30"/>
      <c r="I32" s="30"/>
      <c r="J32" s="30"/>
      <c r="K32" s="30"/>
      <c r="L32" s="30"/>
      <c r="M32" s="30"/>
      <c r="N32" s="30"/>
      <c r="O32" s="30"/>
      <c r="P32" s="30"/>
      <c r="Q32" s="55"/>
      <c r="R32" s="30"/>
      <c r="S32" s="53"/>
      <c r="T32" s="53"/>
      <c r="U32" s="53"/>
      <c r="V32" s="53"/>
      <c r="W32" s="53"/>
      <c r="X32" s="26"/>
    </row>
    <row r="33" spans="1:24" ht="23.45" customHeight="1" x14ac:dyDescent="0.3">
      <c r="A33" s="26"/>
      <c r="B33" s="57" t="s">
        <v>953</v>
      </c>
      <c r="C33" s="26"/>
      <c r="D33" s="175"/>
      <c r="E33" s="175"/>
      <c r="F33" s="53"/>
      <c r="G33" s="30"/>
      <c r="H33" s="30"/>
      <c r="I33" s="30"/>
      <c r="J33" s="30"/>
      <c r="K33" s="30"/>
      <c r="L33" s="30"/>
      <c r="M33" s="30"/>
      <c r="N33" s="30"/>
      <c r="O33" s="30"/>
      <c r="P33" s="30"/>
      <c r="Q33" s="55"/>
      <c r="R33" s="30"/>
      <c r="S33" s="26"/>
      <c r="T33" s="26"/>
      <c r="U33" s="26"/>
      <c r="V33" s="26"/>
      <c r="W33" s="26"/>
      <c r="X33" s="26"/>
    </row>
    <row r="34" spans="1:24" s="56" customFormat="1" ht="23.45" customHeight="1" x14ac:dyDescent="0.3">
      <c r="A34" s="30"/>
      <c r="B34" s="57"/>
      <c r="C34" s="26"/>
      <c r="D34" s="175"/>
      <c r="E34" s="175"/>
      <c r="F34" s="53"/>
      <c r="G34" s="26"/>
      <c r="H34" s="26"/>
      <c r="I34" s="26"/>
      <c r="J34" s="26"/>
      <c r="K34" s="26"/>
      <c r="L34" s="26"/>
      <c r="M34" s="26"/>
      <c r="N34" s="26"/>
      <c r="O34" s="26"/>
      <c r="P34" s="30"/>
      <c r="Q34" s="55"/>
      <c r="R34" s="30"/>
      <c r="S34" s="30"/>
      <c r="T34" s="30"/>
      <c r="U34" s="30"/>
      <c r="V34" s="30"/>
      <c r="W34" s="30"/>
      <c r="X34" s="30"/>
    </row>
    <row r="35" spans="1:24" s="56" customFormat="1" ht="23.45" customHeight="1" thickBot="1" x14ac:dyDescent="0.3">
      <c r="A35" s="30"/>
      <c r="B35" s="26"/>
      <c r="C35" s="26" t="s">
        <v>215</v>
      </c>
      <c r="D35" s="26" t="s">
        <v>216</v>
      </c>
      <c r="E35" s="53"/>
      <c r="F35" s="53"/>
      <c r="G35" s="26"/>
      <c r="H35" s="26"/>
      <c r="I35" s="26"/>
      <c r="J35" s="26"/>
      <c r="K35" s="26"/>
      <c r="L35" s="26"/>
      <c r="M35" s="26"/>
      <c r="N35" s="26"/>
      <c r="O35" s="26"/>
      <c r="P35" s="30"/>
      <c r="Q35" s="55"/>
      <c r="R35" s="30"/>
      <c r="S35" s="30"/>
      <c r="T35" s="30"/>
      <c r="U35" s="30"/>
      <c r="V35" s="30"/>
      <c r="W35" s="30"/>
      <c r="X35" s="30"/>
    </row>
    <row r="36" spans="1:24" ht="23.45" customHeight="1" thickBot="1" x14ac:dyDescent="0.3">
      <c r="A36" s="26"/>
      <c r="B36" s="439" t="s">
        <v>206</v>
      </c>
      <c r="C36" s="52">
        <f>IF(D11="Zero Units Baseline",0,D11)</f>
        <v>0.76270502399999984</v>
      </c>
      <c r="D36" s="52">
        <f>D15</f>
        <v>0.8565975300781592</v>
      </c>
      <c r="E36" s="53"/>
      <c r="F36" s="53"/>
      <c r="G36" s="26"/>
      <c r="H36" s="26"/>
      <c r="I36" s="26"/>
      <c r="J36" s="26"/>
      <c r="K36" s="26"/>
      <c r="L36" s="26"/>
      <c r="M36" s="26"/>
      <c r="N36" s="26"/>
      <c r="O36" s="26"/>
      <c r="P36" s="26"/>
      <c r="Q36" s="55"/>
      <c r="R36" s="30"/>
      <c r="S36" s="30"/>
      <c r="T36" s="30"/>
      <c r="U36" s="30"/>
      <c r="V36" s="30"/>
      <c r="W36" s="30"/>
      <c r="X36" s="26"/>
    </row>
    <row r="37" spans="1:24" ht="23.45" customHeight="1" thickBot="1" x14ac:dyDescent="0.3">
      <c r="A37" s="26"/>
      <c r="B37" s="439" t="s">
        <v>207</v>
      </c>
      <c r="C37" s="52">
        <f t="shared" ref="C37:C38" si="1">IF(D12="Zero Units Baseline",0,D12)</f>
        <v>0</v>
      </c>
      <c r="D37" s="52">
        <f t="shared" ref="D37:D38" si="2">D16</f>
        <v>0</v>
      </c>
      <c r="E37" s="53"/>
      <c r="F37" s="53"/>
      <c r="G37" s="26"/>
      <c r="H37" s="26"/>
      <c r="I37" s="26"/>
      <c r="J37" s="26"/>
      <c r="K37" s="26"/>
      <c r="L37" s="26"/>
      <c r="M37" s="26"/>
      <c r="N37" s="26"/>
      <c r="O37" s="26"/>
      <c r="P37" s="26"/>
      <c r="Q37" s="55"/>
      <c r="R37" s="30"/>
      <c r="S37" s="30"/>
      <c r="T37" s="30"/>
      <c r="U37" s="30"/>
      <c r="V37" s="30"/>
      <c r="W37" s="30"/>
      <c r="X37" s="26"/>
    </row>
    <row r="38" spans="1:24" ht="23.45" customHeight="1" x14ac:dyDescent="0.25">
      <c r="A38" s="26"/>
      <c r="B38" s="439" t="s">
        <v>208</v>
      </c>
      <c r="C38" s="52">
        <f t="shared" si="1"/>
        <v>0</v>
      </c>
      <c r="D38" s="52">
        <f t="shared" si="2"/>
        <v>0</v>
      </c>
      <c r="E38" s="53"/>
      <c r="F38" s="53"/>
      <c r="G38" s="26"/>
      <c r="H38" s="26"/>
      <c r="I38" s="26"/>
      <c r="J38" s="26"/>
      <c r="K38" s="26"/>
      <c r="L38" s="26"/>
      <c r="M38" s="26"/>
      <c r="N38" s="26"/>
      <c r="O38" s="26"/>
      <c r="P38" s="26"/>
      <c r="Q38" s="55"/>
      <c r="R38" s="30"/>
      <c r="S38" s="30"/>
      <c r="T38" s="30"/>
      <c r="U38" s="30"/>
      <c r="V38" s="30"/>
      <c r="W38" s="30"/>
      <c r="X38" s="26"/>
    </row>
    <row r="39" spans="1:24" ht="23.45" customHeight="1" x14ac:dyDescent="0.3">
      <c r="A39" s="26"/>
      <c r="B39" s="57"/>
      <c r="C39" s="26"/>
      <c r="D39" s="175"/>
      <c r="E39" s="175"/>
      <c r="F39" s="53"/>
      <c r="G39" s="26"/>
      <c r="H39" s="26"/>
      <c r="I39" s="26"/>
      <c r="J39" s="26"/>
      <c r="K39" s="26"/>
      <c r="L39" s="26"/>
      <c r="M39" s="26"/>
      <c r="N39" s="26"/>
      <c r="O39" s="26"/>
      <c r="P39" s="26"/>
      <c r="Q39" s="55"/>
      <c r="R39" s="30"/>
      <c r="S39" s="30"/>
      <c r="T39" s="30"/>
      <c r="U39" s="30"/>
      <c r="V39" s="30"/>
      <c r="W39" s="30"/>
      <c r="X39" s="26"/>
    </row>
    <row r="40" spans="1:24" ht="23.45" customHeight="1" x14ac:dyDescent="0.3">
      <c r="A40" s="26"/>
      <c r="B40" s="57"/>
      <c r="C40" s="26"/>
      <c r="D40" s="175"/>
      <c r="E40" s="175"/>
      <c r="F40" s="53"/>
      <c r="G40" s="26"/>
      <c r="H40" s="26"/>
      <c r="I40" s="26"/>
      <c r="J40" s="26"/>
      <c r="K40" s="26"/>
      <c r="L40" s="26"/>
      <c r="M40" s="26"/>
      <c r="N40" s="26"/>
      <c r="O40" s="26"/>
      <c r="P40" s="26"/>
      <c r="Q40" s="55"/>
      <c r="R40" s="30"/>
      <c r="S40" s="30"/>
      <c r="T40" s="30"/>
      <c r="U40" s="30"/>
      <c r="V40" s="30"/>
      <c r="W40" s="30"/>
      <c r="X40" s="26"/>
    </row>
    <row r="41" spans="1:24" ht="23.45" customHeight="1" x14ac:dyDescent="0.3">
      <c r="A41" s="26"/>
      <c r="B41" s="57"/>
      <c r="C41" s="26"/>
      <c r="D41" s="175"/>
      <c r="E41" s="175"/>
      <c r="F41" s="53"/>
      <c r="G41" s="26"/>
      <c r="H41" s="26"/>
      <c r="I41" s="26"/>
      <c r="J41" s="26"/>
      <c r="K41" s="26"/>
      <c r="L41" s="26"/>
      <c r="M41" s="26"/>
      <c r="N41" s="26"/>
      <c r="O41" s="26"/>
      <c r="P41" s="26"/>
      <c r="Q41" s="55"/>
      <c r="R41" s="30"/>
      <c r="S41" s="30"/>
      <c r="T41" s="30"/>
      <c r="U41" s="30"/>
      <c r="V41" s="30"/>
      <c r="W41" s="30"/>
      <c r="X41" s="26"/>
    </row>
    <row r="42" spans="1:24" ht="23.45" customHeight="1" x14ac:dyDescent="0.3">
      <c r="A42" s="26"/>
      <c r="B42" s="57"/>
      <c r="C42" s="26"/>
      <c r="D42" s="175"/>
      <c r="E42" s="175"/>
      <c r="F42" s="53"/>
      <c r="G42" s="28"/>
      <c r="H42" s="28"/>
      <c r="I42" s="28"/>
      <c r="J42" s="28"/>
      <c r="K42" s="28"/>
      <c r="L42" s="28"/>
      <c r="M42" s="29"/>
      <c r="N42" s="29"/>
      <c r="O42" s="26"/>
      <c r="P42" s="26"/>
      <c r="Q42" s="55"/>
      <c r="R42" s="30"/>
      <c r="S42" s="30"/>
      <c r="T42" s="30"/>
      <c r="U42" s="30"/>
      <c r="V42" s="30"/>
      <c r="W42" s="30"/>
      <c r="X42" s="26"/>
    </row>
    <row r="43" spans="1:24" ht="23.45" customHeight="1" x14ac:dyDescent="0.3">
      <c r="A43" s="26"/>
      <c r="B43" s="57"/>
      <c r="C43" s="26"/>
      <c r="D43" s="175"/>
      <c r="E43" s="175"/>
      <c r="F43" s="53"/>
      <c r="G43" s="26"/>
      <c r="H43" s="26"/>
      <c r="I43" s="26"/>
      <c r="J43" s="26"/>
      <c r="K43" s="26"/>
      <c r="L43" s="26"/>
      <c r="M43" s="26"/>
      <c r="N43" s="26"/>
      <c r="O43" s="26"/>
      <c r="P43" s="26"/>
      <c r="Q43" s="26"/>
      <c r="R43" s="26"/>
      <c r="S43" s="26"/>
      <c r="T43" s="26"/>
      <c r="U43" s="26"/>
      <c r="V43" s="26"/>
      <c r="W43" s="26"/>
      <c r="X43" s="26"/>
    </row>
    <row r="44" spans="1:24" ht="36.75" customHeight="1" x14ac:dyDescent="0.3">
      <c r="A44" s="26"/>
      <c r="B44" s="57"/>
      <c r="C44" s="26"/>
      <c r="D44" s="175"/>
      <c r="E44" s="175"/>
      <c r="F44" s="53"/>
      <c r="G44" s="26"/>
      <c r="H44" s="26"/>
      <c r="I44" s="26"/>
      <c r="J44" s="26"/>
      <c r="K44" s="26"/>
      <c r="L44" s="26"/>
      <c r="M44" s="26"/>
      <c r="N44" s="26"/>
      <c r="O44" s="26"/>
      <c r="P44" s="26"/>
      <c r="Q44" s="26"/>
      <c r="R44" s="26"/>
      <c r="S44" s="26"/>
      <c r="T44" s="26"/>
      <c r="U44" s="26"/>
      <c r="V44" s="26"/>
      <c r="W44" s="26"/>
      <c r="X44" s="26"/>
    </row>
    <row r="45" spans="1:24" ht="36" x14ac:dyDescent="0.3">
      <c r="A45" s="26"/>
      <c r="B45" s="57"/>
      <c r="C45" s="26"/>
      <c r="D45" s="175"/>
      <c r="E45" s="175"/>
      <c r="F45" s="53"/>
      <c r="G45" s="26"/>
      <c r="H45" s="26"/>
      <c r="I45" s="26"/>
      <c r="J45" s="26"/>
      <c r="K45" s="26"/>
      <c r="L45" s="26"/>
      <c r="M45" s="26"/>
      <c r="N45" s="26"/>
      <c r="O45" s="26"/>
      <c r="P45" s="26"/>
      <c r="Q45" s="26"/>
      <c r="R45" s="26"/>
      <c r="S45" s="26"/>
      <c r="T45" s="26"/>
      <c r="U45" s="26"/>
      <c r="V45" s="26"/>
      <c r="W45" s="26"/>
      <c r="X45" s="26"/>
    </row>
    <row r="46" spans="1:24" s="56" customFormat="1" ht="36" x14ac:dyDescent="0.3">
      <c r="A46" s="30"/>
      <c r="B46" s="57"/>
      <c r="C46" s="26"/>
      <c r="D46" s="175"/>
      <c r="E46" s="175"/>
      <c r="F46" s="53"/>
      <c r="G46" s="57"/>
      <c r="H46" s="30"/>
      <c r="I46" s="30"/>
      <c r="J46" s="30"/>
      <c r="K46" s="30"/>
      <c r="L46" s="30"/>
      <c r="M46" s="30"/>
      <c r="N46" s="30"/>
      <c r="O46" s="30"/>
      <c r="P46" s="30"/>
      <c r="Q46" s="30"/>
      <c r="R46" s="30"/>
      <c r="S46" s="30"/>
      <c r="T46" s="30"/>
      <c r="U46" s="30"/>
      <c r="V46" s="30"/>
      <c r="W46" s="30"/>
      <c r="X46" s="30"/>
    </row>
    <row r="47" spans="1:24" s="56" customFormat="1" ht="36" x14ac:dyDescent="0.3">
      <c r="A47" s="30"/>
      <c r="B47" s="57"/>
      <c r="C47" s="26"/>
      <c r="D47" s="175"/>
      <c r="E47" s="175"/>
      <c r="F47" s="53"/>
      <c r="G47" s="57"/>
      <c r="H47" s="30"/>
      <c r="I47" s="30"/>
      <c r="J47" s="30"/>
      <c r="K47" s="30"/>
      <c r="L47" s="30"/>
      <c r="M47" s="30"/>
      <c r="N47" s="30"/>
      <c r="O47" s="30"/>
      <c r="P47" s="30"/>
      <c r="Q47" s="30"/>
      <c r="R47" s="30"/>
      <c r="S47" s="30"/>
      <c r="T47" s="30"/>
      <c r="U47" s="30"/>
      <c r="V47" s="30"/>
      <c r="W47" s="30"/>
      <c r="X47" s="30"/>
    </row>
    <row r="48" spans="1:24" s="56" customFormat="1" ht="36" x14ac:dyDescent="0.3">
      <c r="A48" s="30"/>
      <c r="B48" s="57"/>
      <c r="C48" s="26"/>
      <c r="D48" s="175"/>
      <c r="E48" s="175"/>
      <c r="F48" s="53"/>
      <c r="G48" s="57"/>
      <c r="H48" s="30"/>
      <c r="I48" s="30"/>
      <c r="J48" s="30"/>
      <c r="K48" s="30"/>
      <c r="L48" s="30"/>
      <c r="M48" s="30"/>
      <c r="N48" s="30"/>
      <c r="O48" s="30"/>
      <c r="P48" s="30"/>
      <c r="Q48" s="30"/>
      <c r="R48" s="30"/>
      <c r="S48" s="30"/>
      <c r="T48" s="30"/>
      <c r="U48" s="30"/>
      <c r="V48" s="30"/>
      <c r="W48" s="30"/>
      <c r="X48" s="30"/>
    </row>
    <row r="49" spans="1:24" ht="23.45" customHeight="1" x14ac:dyDescent="0.3">
      <c r="A49" s="26"/>
      <c r="B49" s="57"/>
      <c r="C49" s="26"/>
      <c r="D49" s="175"/>
      <c r="E49" s="175"/>
      <c r="F49" s="53"/>
      <c r="G49" s="57"/>
      <c r="H49" s="30"/>
      <c r="I49" s="30"/>
      <c r="J49" s="30"/>
      <c r="K49" s="30"/>
      <c r="L49" s="30"/>
      <c r="M49" s="26"/>
      <c r="N49" s="26"/>
      <c r="O49" s="26"/>
      <c r="P49" s="26"/>
      <c r="Q49" s="136"/>
      <c r="R49" s="136"/>
      <c r="S49" s="136"/>
      <c r="T49" s="136"/>
      <c r="U49" s="136"/>
      <c r="V49" s="136"/>
      <c r="W49" s="136"/>
      <c r="X49" s="136"/>
    </row>
    <row r="50" spans="1:24" ht="18" customHeight="1" x14ac:dyDescent="0.25">
      <c r="A50" s="26"/>
      <c r="B50" s="26"/>
      <c r="C50" s="30"/>
      <c r="D50" s="30"/>
      <c r="E50" s="30"/>
      <c r="F50" s="53"/>
      <c r="G50" s="57"/>
      <c r="H50" s="30"/>
      <c r="I50" s="30"/>
      <c r="J50" s="30"/>
      <c r="K50" s="30"/>
      <c r="L50" s="30"/>
      <c r="M50" s="26"/>
      <c r="N50" s="26"/>
      <c r="O50" s="26"/>
      <c r="P50" s="26"/>
      <c r="Q50" s="136"/>
      <c r="R50" s="136"/>
      <c r="S50" s="136"/>
      <c r="T50" s="136"/>
      <c r="U50" s="136"/>
      <c r="V50" s="136"/>
      <c r="W50" s="136"/>
      <c r="X50" s="136"/>
    </row>
    <row r="51" spans="1:24" ht="18.600000000000001" customHeight="1" x14ac:dyDescent="0.25">
      <c r="A51" s="26"/>
      <c r="B51" s="26"/>
      <c r="C51" s="30"/>
      <c r="D51" s="30"/>
      <c r="E51" s="30"/>
      <c r="F51" s="53"/>
      <c r="G51" s="57"/>
      <c r="H51" s="30"/>
      <c r="I51" s="30"/>
      <c r="J51" s="30"/>
      <c r="K51" s="30"/>
      <c r="L51" s="30"/>
      <c r="M51" s="26"/>
      <c r="N51" s="26"/>
      <c r="O51" s="26"/>
      <c r="P51" s="26"/>
      <c r="Q51" s="26"/>
      <c r="R51" s="26"/>
      <c r="S51" s="26"/>
      <c r="T51" s="26"/>
      <c r="U51" s="26"/>
      <c r="V51" s="26"/>
      <c r="W51" s="26"/>
      <c r="X51" s="26"/>
    </row>
    <row r="52" spans="1:24" ht="18.600000000000001" hidden="1" customHeight="1" x14ac:dyDescent="0.25">
      <c r="A52" s="26"/>
      <c r="B52" s="26"/>
      <c r="C52" s="30"/>
      <c r="D52" s="30"/>
      <c r="E52" s="30"/>
      <c r="F52" s="30"/>
      <c r="G52" s="57"/>
      <c r="H52" s="30"/>
      <c r="I52" s="30"/>
      <c r="J52" s="30"/>
      <c r="K52" s="30"/>
      <c r="L52" s="30"/>
      <c r="M52" s="26"/>
      <c r="N52" s="26"/>
      <c r="O52" s="26"/>
      <c r="P52" s="26"/>
      <c r="Q52" s="27"/>
      <c r="R52" s="26"/>
      <c r="S52" s="26"/>
      <c r="T52" s="26"/>
      <c r="U52" s="26"/>
      <c r="V52" s="26"/>
      <c r="W52" s="26"/>
      <c r="X52" s="26"/>
    </row>
    <row r="53" spans="1:24" ht="18.600000000000001" hidden="1" customHeight="1" x14ac:dyDescent="0.25">
      <c r="A53" s="26"/>
      <c r="B53" s="26"/>
      <c r="C53" s="30"/>
      <c r="D53" s="30"/>
      <c r="E53" s="30"/>
      <c r="F53" s="30"/>
      <c r="G53" s="57"/>
      <c r="H53" s="30"/>
      <c r="I53" s="30"/>
      <c r="J53" s="30"/>
      <c r="K53" s="30"/>
      <c r="L53" s="30"/>
      <c r="M53" s="26"/>
      <c r="N53" s="26"/>
      <c r="O53" s="26"/>
      <c r="P53" s="26"/>
      <c r="Q53" s="26"/>
      <c r="R53" s="26"/>
      <c r="S53" s="26"/>
      <c r="T53" s="26"/>
      <c r="U53" s="26"/>
      <c r="V53" s="26"/>
      <c r="W53" s="26"/>
      <c r="X53" s="26"/>
    </row>
    <row r="54" spans="1:24" ht="18" hidden="1" customHeight="1" x14ac:dyDescent="0.25">
      <c r="A54" s="26"/>
      <c r="B54" s="26"/>
      <c r="C54" s="30"/>
      <c r="D54" s="30"/>
      <c r="E54" s="30"/>
      <c r="F54" s="30"/>
      <c r="G54" s="57"/>
      <c r="H54" s="30"/>
      <c r="I54" s="30"/>
      <c r="J54" s="30"/>
      <c r="K54" s="30"/>
      <c r="L54" s="30"/>
      <c r="M54" s="26"/>
      <c r="N54" s="26"/>
      <c r="O54" s="26"/>
      <c r="P54" s="26"/>
      <c r="Q54" s="26"/>
      <c r="R54" s="26"/>
      <c r="S54" s="26"/>
      <c r="T54" s="26"/>
      <c r="U54" s="26"/>
      <c r="V54" s="26"/>
      <c r="W54" s="26"/>
      <c r="X54" s="26"/>
    </row>
    <row r="55" spans="1:24" ht="18.600000000000001" hidden="1" customHeight="1" x14ac:dyDescent="0.25">
      <c r="A55" s="26"/>
      <c r="B55" s="26"/>
      <c r="C55" s="30"/>
      <c r="D55" s="30"/>
      <c r="E55" s="30"/>
      <c r="F55" s="30"/>
      <c r="G55" s="57"/>
      <c r="H55" s="30"/>
      <c r="I55" s="30"/>
      <c r="J55" s="30"/>
      <c r="K55" s="30"/>
      <c r="L55" s="30"/>
      <c r="M55" s="26"/>
      <c r="N55" s="26"/>
      <c r="O55" s="26"/>
      <c r="P55" s="26"/>
      <c r="Q55" s="26"/>
      <c r="R55" s="26"/>
      <c r="S55" s="26"/>
      <c r="T55" s="26"/>
      <c r="U55" s="26"/>
      <c r="V55" s="26"/>
      <c r="W55" s="26"/>
      <c r="X55" s="26"/>
    </row>
    <row r="56" spans="1:24" ht="18.600000000000001" hidden="1" customHeight="1" x14ac:dyDescent="0.25">
      <c r="A56" s="26"/>
      <c r="B56" s="26"/>
      <c r="C56" s="30"/>
      <c r="D56" s="30"/>
      <c r="E56" s="30"/>
      <c r="F56" s="30"/>
      <c r="G56" s="57"/>
      <c r="H56" s="30"/>
      <c r="I56" s="30"/>
      <c r="J56" s="30"/>
      <c r="K56" s="30"/>
      <c r="L56" s="30"/>
      <c r="M56" s="26"/>
      <c r="N56" s="26"/>
      <c r="O56" s="26"/>
      <c r="P56" s="26"/>
      <c r="Q56" s="26"/>
      <c r="R56" s="26"/>
      <c r="S56" s="26"/>
      <c r="T56" s="26"/>
      <c r="U56" s="26"/>
      <c r="V56" s="26"/>
      <c r="W56" s="26"/>
      <c r="X56" s="26"/>
    </row>
    <row r="57" spans="1:24" ht="18" hidden="1" customHeight="1" x14ac:dyDescent="0.25">
      <c r="A57" s="26"/>
      <c r="B57" s="26"/>
      <c r="C57" s="30"/>
      <c r="D57" s="30"/>
      <c r="E57" s="30"/>
      <c r="F57" s="30"/>
      <c r="G57" s="57"/>
      <c r="H57" s="30"/>
      <c r="I57" s="30"/>
      <c r="J57" s="30"/>
      <c r="K57" s="30"/>
      <c r="L57" s="30"/>
      <c r="M57" s="26"/>
      <c r="N57" s="26"/>
      <c r="O57" s="26"/>
      <c r="P57" s="26"/>
      <c r="Q57" s="26"/>
      <c r="R57" s="26"/>
      <c r="S57" s="26"/>
      <c r="T57" s="26"/>
      <c r="U57" s="26"/>
      <c r="V57" s="26"/>
      <c r="W57" s="26"/>
      <c r="X57" s="26"/>
    </row>
    <row r="58" spans="1:24" ht="18.600000000000001" hidden="1" customHeight="1" x14ac:dyDescent="0.25">
      <c r="A58" s="26"/>
      <c r="B58" s="26"/>
      <c r="C58" s="30"/>
      <c r="D58" s="30"/>
      <c r="E58" s="30"/>
      <c r="F58" s="30"/>
      <c r="G58" s="57"/>
      <c r="H58" s="30"/>
      <c r="I58" s="30"/>
      <c r="J58" s="30"/>
      <c r="K58" s="30"/>
      <c r="L58" s="30"/>
      <c r="M58" s="26"/>
      <c r="N58" s="26"/>
      <c r="O58" s="26"/>
      <c r="P58" s="26"/>
      <c r="Q58" s="26"/>
      <c r="R58" s="26"/>
      <c r="S58" s="26"/>
      <c r="T58" s="26"/>
      <c r="U58" s="26"/>
      <c r="V58" s="26"/>
      <c r="W58" s="26"/>
      <c r="X58" s="26"/>
    </row>
    <row r="59" spans="1:24" ht="18.600000000000001" hidden="1" customHeight="1" x14ac:dyDescent="0.25">
      <c r="A59" s="26"/>
      <c r="B59" s="26"/>
      <c r="C59" s="30"/>
      <c r="D59" s="30"/>
      <c r="E59" s="30"/>
      <c r="F59" s="30"/>
      <c r="G59" s="57"/>
      <c r="H59" s="30"/>
      <c r="I59" s="30"/>
      <c r="J59" s="30"/>
      <c r="K59" s="30"/>
      <c r="L59" s="30"/>
      <c r="M59" s="26"/>
      <c r="N59" s="26"/>
      <c r="O59" s="26"/>
      <c r="P59" s="26"/>
      <c r="Q59" s="26"/>
      <c r="R59" s="26"/>
      <c r="S59" s="26"/>
      <c r="T59" s="26"/>
      <c r="U59" s="26"/>
      <c r="V59" s="26"/>
      <c r="W59" s="26"/>
      <c r="X59" s="26"/>
    </row>
    <row r="60" spans="1:24" ht="18.600000000000001" hidden="1" customHeight="1" x14ac:dyDescent="0.25">
      <c r="A60" s="26"/>
      <c r="B60" s="26"/>
      <c r="C60" s="30"/>
      <c r="D60" s="30"/>
      <c r="E60" s="30"/>
      <c r="F60" s="30"/>
      <c r="G60" s="57"/>
      <c r="H60" s="30"/>
      <c r="I60" s="30"/>
      <c r="J60" s="30"/>
      <c r="K60" s="30"/>
      <c r="L60" s="30"/>
      <c r="M60" s="26"/>
      <c r="N60" s="26"/>
      <c r="O60" s="26"/>
      <c r="P60" s="26"/>
      <c r="Q60" s="26"/>
      <c r="R60" s="26"/>
      <c r="S60" s="26"/>
      <c r="T60" s="26"/>
      <c r="U60" s="26"/>
      <c r="V60" s="26"/>
      <c r="W60" s="26"/>
      <c r="X60" s="26"/>
    </row>
    <row r="61" spans="1:24" ht="18.600000000000001" hidden="1" customHeight="1" x14ac:dyDescent="0.25">
      <c r="A61" s="26"/>
      <c r="B61" s="26"/>
      <c r="C61" s="30"/>
      <c r="D61" s="30"/>
      <c r="E61" s="30"/>
      <c r="F61" s="30"/>
      <c r="G61" s="57"/>
      <c r="H61" s="30"/>
      <c r="I61" s="30"/>
      <c r="J61" s="30"/>
      <c r="K61" s="30"/>
      <c r="L61" s="30"/>
      <c r="M61" s="26"/>
      <c r="N61" s="26"/>
      <c r="O61" s="26"/>
      <c r="P61" s="26"/>
      <c r="Q61" s="26"/>
      <c r="R61" s="26"/>
      <c r="S61" s="26"/>
      <c r="T61" s="26"/>
      <c r="U61" s="26"/>
      <c r="V61" s="26"/>
      <c r="W61" s="26"/>
      <c r="X61" s="26"/>
    </row>
    <row r="62" spans="1:24" ht="15.6" hidden="1" customHeight="1" x14ac:dyDescent="0.25">
      <c r="A62" s="26"/>
      <c r="B62" s="26"/>
      <c r="C62" s="30"/>
      <c r="D62" s="30"/>
      <c r="E62" s="30"/>
      <c r="F62" s="30"/>
      <c r="G62" s="57"/>
      <c r="H62" s="30"/>
      <c r="I62" s="30"/>
      <c r="J62" s="30"/>
      <c r="K62" s="30"/>
      <c r="L62" s="30"/>
      <c r="M62" s="26"/>
      <c r="N62" s="26"/>
      <c r="O62" s="26"/>
      <c r="P62" s="26"/>
      <c r="Q62" s="26"/>
      <c r="R62" s="26"/>
      <c r="S62" s="26"/>
      <c r="T62" s="26"/>
      <c r="U62" s="26"/>
      <c r="V62" s="26"/>
      <c r="W62" s="26"/>
      <c r="X62" s="26"/>
    </row>
    <row r="63" spans="1:24" ht="18" hidden="1" customHeight="1" x14ac:dyDescent="0.25">
      <c r="A63" s="26"/>
      <c r="B63" s="26"/>
      <c r="C63" s="30"/>
      <c r="D63" s="30"/>
      <c r="E63" s="30"/>
      <c r="F63" s="30"/>
      <c r="G63" s="57"/>
      <c r="H63" s="30"/>
      <c r="I63" s="30"/>
      <c r="J63" s="30"/>
      <c r="K63" s="30"/>
      <c r="L63" s="30"/>
      <c r="M63" s="26"/>
      <c r="N63" s="26"/>
      <c r="O63" s="26"/>
      <c r="P63" s="26"/>
      <c r="Q63" s="26"/>
      <c r="R63" s="26"/>
      <c r="S63" s="26"/>
      <c r="T63" s="26"/>
      <c r="U63" s="26"/>
      <c r="V63" s="26"/>
      <c r="W63" s="26"/>
      <c r="X63" s="26"/>
    </row>
    <row r="64" spans="1:24" ht="14.45" hidden="1" customHeight="1" x14ac:dyDescent="0.25">
      <c r="A64" s="26"/>
      <c r="B64" s="26"/>
      <c r="C64" s="30"/>
      <c r="D64" s="30"/>
      <c r="E64" s="30"/>
      <c r="F64" s="26"/>
      <c r="G64" s="131"/>
      <c r="H64" s="131"/>
      <c r="I64" s="131"/>
      <c r="J64" s="131"/>
      <c r="K64" s="26"/>
      <c r="L64" s="26"/>
      <c r="M64" s="26"/>
      <c r="N64" s="26"/>
      <c r="O64" s="26"/>
      <c r="P64" s="26"/>
      <c r="Q64" s="26"/>
      <c r="R64" s="26"/>
      <c r="S64" s="26"/>
      <c r="T64" s="26"/>
      <c r="U64" s="26"/>
      <c r="V64" s="26"/>
      <c r="W64" s="26"/>
      <c r="X64" s="26"/>
    </row>
    <row r="65" spans="1:24" ht="14.45" hidden="1" customHeight="1" x14ac:dyDescent="0.25">
      <c r="A65" s="26"/>
      <c r="B65" s="882" t="s">
        <v>213</v>
      </c>
      <c r="C65" s="167">
        <v>26000</v>
      </c>
      <c r="D65" s="30"/>
      <c r="E65" s="30"/>
      <c r="F65" s="26"/>
      <c r="G65" s="131"/>
      <c r="H65" s="131"/>
      <c r="I65" s="131"/>
      <c r="J65" s="131"/>
      <c r="K65" s="26"/>
      <c r="L65" s="26"/>
      <c r="M65" s="26"/>
      <c r="N65" s="26"/>
      <c r="O65" s="26"/>
      <c r="P65" s="26"/>
      <c r="Q65" s="26"/>
      <c r="R65" s="26"/>
      <c r="S65" s="26"/>
      <c r="T65" s="26"/>
      <c r="U65" s="26"/>
      <c r="V65" s="26"/>
      <c r="W65" s="26"/>
      <c r="X65" s="26"/>
    </row>
    <row r="66" spans="1:24" ht="14.45" hidden="1" customHeight="1" x14ac:dyDescent="0.25">
      <c r="A66" s="26"/>
      <c r="B66" s="882"/>
      <c r="C66" s="166"/>
      <c r="D66" s="26"/>
      <c r="E66" s="26"/>
      <c r="F66" s="26"/>
      <c r="G66" s="131"/>
      <c r="H66" s="131"/>
      <c r="I66" s="131"/>
      <c r="J66" s="131"/>
      <c r="K66" s="26"/>
      <c r="L66" s="26"/>
      <c r="M66" s="26"/>
      <c r="N66" s="26"/>
      <c r="O66" s="26"/>
      <c r="P66" s="26"/>
      <c r="Q66" s="26"/>
      <c r="R66" s="26"/>
      <c r="S66" s="26"/>
      <c r="T66" s="26"/>
      <c r="U66" s="26"/>
      <c r="V66" s="26"/>
      <c r="W66" s="26"/>
      <c r="X66" s="26"/>
    </row>
    <row r="67" spans="1:24" ht="14.45" hidden="1" customHeight="1" x14ac:dyDescent="0.25">
      <c r="A67" s="26"/>
      <c r="B67" s="883"/>
      <c r="C67" s="26"/>
      <c r="D67" s="26"/>
      <c r="E67" s="26"/>
      <c r="F67" s="26"/>
      <c r="G67" s="131"/>
      <c r="H67" s="131"/>
      <c r="I67" s="131"/>
      <c r="J67" s="131"/>
      <c r="K67" s="26"/>
      <c r="L67" s="26"/>
      <c r="M67" s="26"/>
      <c r="N67" s="26"/>
      <c r="O67" s="26"/>
      <c r="P67" s="26"/>
      <c r="Q67" s="26"/>
      <c r="R67" s="26"/>
      <c r="S67" s="26"/>
      <c r="T67" s="26"/>
      <c r="U67" s="26"/>
      <c r="V67" s="26"/>
      <c r="W67" s="26"/>
      <c r="X67" s="26"/>
    </row>
    <row r="68" spans="1:24" ht="14.45" hidden="1" customHeight="1" x14ac:dyDescent="0.25">
      <c r="A68" s="26"/>
      <c r="B68" s="883"/>
      <c r="C68" s="26"/>
      <c r="D68" s="26"/>
      <c r="E68" s="26"/>
      <c r="F68" s="26"/>
      <c r="G68" s="131"/>
      <c r="H68" s="131"/>
      <c r="I68" s="131"/>
      <c r="J68" s="131"/>
      <c r="K68" s="26"/>
      <c r="L68" s="26"/>
      <c r="M68" s="26"/>
      <c r="N68" s="26"/>
      <c r="O68" s="26"/>
      <c r="P68" s="26"/>
      <c r="Q68" s="26"/>
      <c r="R68" s="26"/>
      <c r="S68" s="26"/>
      <c r="T68" s="26"/>
      <c r="U68" s="26"/>
      <c r="V68" s="26"/>
      <c r="W68" s="26"/>
      <c r="X68" s="26"/>
    </row>
    <row r="69" spans="1:24" ht="14.45" hidden="1" customHeight="1" x14ac:dyDescent="0.25">
      <c r="A69" s="26"/>
      <c r="B69" s="26"/>
      <c r="C69" s="26"/>
      <c r="D69" s="26"/>
      <c r="E69" s="26"/>
      <c r="F69" s="26"/>
      <c r="G69" s="131"/>
      <c r="H69" s="131"/>
      <c r="I69" s="131"/>
      <c r="J69" s="131"/>
      <c r="K69" s="26"/>
      <c r="L69" s="26"/>
      <c r="M69" s="26"/>
      <c r="N69" s="26"/>
      <c r="O69" s="26"/>
      <c r="P69" s="26"/>
      <c r="Q69" s="26"/>
      <c r="R69" s="26"/>
      <c r="S69" s="26"/>
      <c r="T69" s="26"/>
      <c r="U69" s="26"/>
      <c r="V69" s="26"/>
      <c r="W69" s="26"/>
      <c r="X69" s="26"/>
    </row>
    <row r="70" spans="1:24" ht="14.45" hidden="1" customHeight="1" x14ac:dyDescent="0.25">
      <c r="A70" s="26"/>
      <c r="B70" s="26"/>
      <c r="C70" s="26"/>
      <c r="D70" s="26"/>
      <c r="E70" s="26"/>
      <c r="F70" s="26"/>
      <c r="G70" s="131"/>
      <c r="H70" s="131"/>
      <c r="I70" s="131"/>
      <c r="J70" s="131"/>
      <c r="K70" s="26"/>
      <c r="L70" s="26"/>
      <c r="M70" s="26"/>
      <c r="N70" s="26"/>
      <c r="O70" s="26"/>
      <c r="P70" s="26"/>
      <c r="Q70" s="26"/>
      <c r="R70" s="26"/>
      <c r="S70" s="26"/>
      <c r="T70" s="26"/>
      <c r="U70" s="26"/>
      <c r="V70" s="26"/>
      <c r="W70" s="26"/>
      <c r="X70" s="26"/>
    </row>
    <row r="71" spans="1:24" ht="14.45" hidden="1" customHeight="1" x14ac:dyDescent="0.25"/>
    <row r="72" spans="1:24" ht="14.45" hidden="1" customHeight="1" x14ac:dyDescent="0.25"/>
    <row r="73" spans="1:24" ht="14.45" hidden="1" customHeight="1" x14ac:dyDescent="0.25"/>
    <row r="74" spans="1:24" ht="14.45" hidden="1" customHeight="1" x14ac:dyDescent="0.25"/>
  </sheetData>
  <sheetProtection algorithmName="SHA-512" hashValue="OehgyF7oG3iAu35QJ+9Oo8yPScBCQI+LaHjhEoViNCligW+I7tvrTKNtgEnRyX1eC2/sw0V9dkjirGA75+SdPA==" saltValue="KaMlH5DT94T7bm1qP3Y7qw==" spinCount="100000" sheet="1" objects="1" scenarios="1"/>
  <mergeCells count="24">
    <mergeCell ref="B65:B66"/>
    <mergeCell ref="B67:B68"/>
    <mergeCell ref="H3:O3"/>
    <mergeCell ref="B3:C3"/>
    <mergeCell ref="B2:C2"/>
    <mergeCell ref="B23:B25"/>
    <mergeCell ref="B19:B21"/>
    <mergeCell ref="B29:C29"/>
    <mergeCell ref="B28:C28"/>
    <mergeCell ref="B27:C27"/>
    <mergeCell ref="B9:C9"/>
    <mergeCell ref="B5:C5"/>
    <mergeCell ref="D27:E27"/>
    <mergeCell ref="D28:E28"/>
    <mergeCell ref="D29:E29"/>
    <mergeCell ref="B11:B13"/>
    <mergeCell ref="D2:E2"/>
    <mergeCell ref="D3:E3"/>
    <mergeCell ref="B15:B17"/>
    <mergeCell ref="B7:C7"/>
    <mergeCell ref="D7:E7"/>
    <mergeCell ref="D10:E10"/>
    <mergeCell ref="D5:E5"/>
    <mergeCell ref="D9:E9"/>
  </mergeCells>
  <conditionalFormatting sqref="C36:D38">
    <cfRule type="cellIs" dxfId="19" priority="5" operator="equal">
      <formula>"Error - Enter required % on start page"</formula>
    </cfRule>
    <cfRule type="cellIs" dxfId="18" priority="6" operator="equal">
      <formula>"Error"</formula>
    </cfRule>
    <cfRule type="cellIs" dxfId="17" priority="7" operator="lessThan">
      <formula>0</formula>
    </cfRule>
  </conditionalFormatting>
  <conditionalFormatting sqref="D5">
    <cfRule type="cellIs" dxfId="16" priority="45" operator="equal">
      <formula>"BNG Targets Not Met ▲"</formula>
    </cfRule>
    <cfRule type="cellIs" dxfId="15" priority="46" operator="equal">
      <formula>"BNG Targets Met 🗸"</formula>
    </cfRule>
  </conditionalFormatting>
  <conditionalFormatting sqref="D7 G7:H7">
    <cfRule type="cellIs" dxfId="14" priority="3" operator="equal">
      <formula>"Trading Rules Not Satisfied ▲"</formula>
    </cfRule>
    <cfRule type="cellIs" dxfId="13" priority="4" operator="equal">
      <formula>"Trading Rules Satisfied 🗸"</formula>
    </cfRule>
  </conditionalFormatting>
  <conditionalFormatting sqref="D9">
    <cfRule type="cellIs" dxfId="12" priority="41" operator="equal">
      <formula>"BNG Tragets Not Met ▲"</formula>
    </cfRule>
    <cfRule type="cellIs" dxfId="11" priority="42" operator="equal">
      <formula>"BNG Targets Met 🗸"</formula>
    </cfRule>
  </conditionalFormatting>
  <conditionalFormatting sqref="D23:D25">
    <cfRule type="cellIs" dxfId="10" priority="28" operator="equal">
      <formula>"% target not appropriate"</formula>
    </cfRule>
    <cfRule type="cellIs" dxfId="9" priority="43" operator="greaterThanOrEqual">
      <formula>0.1</formula>
    </cfRule>
    <cfRule type="cellIs" dxfId="8" priority="44" operator="lessThan">
      <formula>0.1</formula>
    </cfRule>
  </conditionalFormatting>
  <conditionalFormatting sqref="D19:E21">
    <cfRule type="cellIs" dxfId="7" priority="21" operator="lessThan">
      <formula>0</formula>
    </cfRule>
    <cfRule type="cellIs" dxfId="6" priority="22" operator="greaterThanOrEqual">
      <formula>0</formula>
    </cfRule>
  </conditionalFormatting>
  <conditionalFormatting sqref="E19:E25">
    <cfRule type="containsText" dxfId="5" priority="1" operator="containsText" text="🗸">
      <formula>NOT(ISERROR(SEARCH("🗸",E19)))</formula>
    </cfRule>
    <cfRule type="containsText" dxfId="4" priority="2" operator="containsText" text="▲">
      <formula>NOT(ISERROR(SEARCH("▲",E19)))</formula>
    </cfRule>
  </conditionalFormatting>
  <conditionalFormatting sqref="E23:E25">
    <cfRule type="containsBlanks" dxfId="3" priority="8">
      <formula>LEN(TRIM(E23))=0</formula>
    </cfRule>
    <cfRule type="expression" dxfId="2" priority="10">
      <formula>$F23&gt;=0</formula>
    </cfRule>
    <cfRule type="expression" dxfId="1" priority="11">
      <formula>$F23&lt;0</formula>
    </cfRule>
  </conditionalFormatting>
  <pageMargins left="0.7" right="0.7" top="0.75" bottom="0.75" header="0.3" footer="0.3"/>
  <pageSetup paperSize="9" scale="6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449-10CE-43A3-A07F-9DA593EC1650}">
  <sheetPr codeName="Sheet10">
    <tabColor rgb="FF005E5C"/>
    <pageSetUpPr fitToPage="1"/>
  </sheetPr>
  <dimension ref="A1:Y110"/>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0" defaultRowHeight="15" zeroHeight="1" x14ac:dyDescent="0.25"/>
  <cols>
    <col min="1" max="2" width="8.85546875" customWidth="1"/>
    <col min="3" max="3" width="78.5703125" bestFit="1" customWidth="1"/>
    <col min="4" max="4" width="28.5703125" style="19" customWidth="1"/>
    <col min="5" max="5" width="14.42578125" hidden="1" customWidth="1"/>
    <col min="6" max="6" width="18.42578125" hidden="1" customWidth="1"/>
    <col min="7" max="7" width="15.85546875" style="19" customWidth="1"/>
    <col min="8" max="8" width="34.5703125" style="21" customWidth="1"/>
    <col min="9" max="9" width="13" customWidth="1"/>
    <col min="10" max="10" width="12.85546875" bestFit="1" customWidth="1"/>
    <col min="11" max="11" width="23.85546875" hidden="1" customWidth="1"/>
    <col min="12" max="25" width="8.85546875" customWidth="1"/>
    <col min="26" max="16384" width="8.85546875" hidden="1"/>
  </cols>
  <sheetData>
    <row r="1" spans="1:25" ht="26.1" customHeight="1" thickBot="1" x14ac:dyDescent="0.3">
      <c r="A1" s="26"/>
      <c r="B1" s="901" t="s">
        <v>991</v>
      </c>
      <c r="C1" s="902"/>
      <c r="D1" s="902"/>
      <c r="E1" s="902"/>
      <c r="F1" s="902"/>
      <c r="G1" s="902"/>
      <c r="H1" s="902"/>
      <c r="I1" s="902"/>
      <c r="J1" s="903"/>
      <c r="K1" s="248">
        <v>9</v>
      </c>
      <c r="L1" s="26"/>
      <c r="M1" s="26"/>
      <c r="N1" s="26"/>
      <c r="O1" s="26"/>
      <c r="P1" s="26"/>
      <c r="Q1" s="26"/>
      <c r="R1" s="26"/>
      <c r="S1" s="26"/>
      <c r="T1" s="26"/>
      <c r="U1" s="26"/>
      <c r="V1" s="26"/>
      <c r="W1" s="26"/>
      <c r="X1" s="26"/>
      <c r="Y1" s="26"/>
    </row>
    <row r="2" spans="1:25" ht="18.75" x14ac:dyDescent="0.3">
      <c r="A2" s="26"/>
      <c r="B2" s="899" t="s">
        <v>39</v>
      </c>
      <c r="C2" s="896" t="s">
        <v>217</v>
      </c>
      <c r="D2" s="896"/>
      <c r="E2" s="896"/>
      <c r="F2" s="896"/>
      <c r="G2" s="897" t="s">
        <v>71</v>
      </c>
      <c r="H2" s="897"/>
      <c r="I2" s="898" t="s">
        <v>218</v>
      </c>
      <c r="J2" s="898"/>
      <c r="K2" s="132" t="s">
        <v>219</v>
      </c>
      <c r="L2" s="26"/>
      <c r="M2" s="26"/>
      <c r="N2" s="26"/>
      <c r="O2" s="26"/>
      <c r="P2" s="26"/>
      <c r="Q2" s="26"/>
      <c r="R2" s="26"/>
      <c r="S2" s="26"/>
      <c r="T2" s="26"/>
      <c r="U2" s="26"/>
      <c r="V2" s="26"/>
      <c r="W2" s="26"/>
      <c r="X2" s="26"/>
      <c r="Y2" s="26"/>
    </row>
    <row r="3" spans="1:25" ht="60" x14ac:dyDescent="0.25">
      <c r="A3" s="26"/>
      <c r="B3" s="900"/>
      <c r="C3" s="133" t="s">
        <v>217</v>
      </c>
      <c r="D3" s="133" t="s">
        <v>220</v>
      </c>
      <c r="E3" s="133" t="s">
        <v>221</v>
      </c>
      <c r="F3" s="133" t="s">
        <v>222</v>
      </c>
      <c r="G3" s="310" t="s">
        <v>223</v>
      </c>
      <c r="H3" s="310" t="s">
        <v>224</v>
      </c>
      <c r="I3" s="63" t="s">
        <v>225</v>
      </c>
      <c r="J3" s="63" t="s">
        <v>226</v>
      </c>
      <c r="K3" s="134" t="s">
        <v>227</v>
      </c>
      <c r="L3" s="26"/>
      <c r="M3" s="26"/>
      <c r="N3" s="26"/>
      <c r="O3" s="26"/>
      <c r="P3" s="26"/>
      <c r="Q3" s="26"/>
      <c r="R3" s="26"/>
      <c r="S3" s="26"/>
      <c r="T3" s="26"/>
      <c r="U3" s="26"/>
      <c r="V3" s="26"/>
      <c r="W3" s="26"/>
      <c r="X3" s="26"/>
      <c r="Y3" s="26"/>
    </row>
    <row r="4" spans="1:25" ht="30" x14ac:dyDescent="0.25">
      <c r="A4" s="26"/>
      <c r="B4" s="7">
        <v>1</v>
      </c>
      <c r="C4" s="7" t="s">
        <v>228</v>
      </c>
      <c r="D4" s="7" t="s">
        <v>174</v>
      </c>
      <c r="E4" s="7"/>
      <c r="F4" s="7"/>
      <c r="G4" s="9" t="s">
        <v>177</v>
      </c>
      <c r="H4" s="9" t="s">
        <v>229</v>
      </c>
      <c r="I4" s="9" t="s">
        <v>175</v>
      </c>
      <c r="J4" s="9" t="s">
        <v>175</v>
      </c>
      <c r="K4" s="7" t="s">
        <v>175</v>
      </c>
      <c r="L4" s="26"/>
      <c r="M4" s="26"/>
      <c r="N4" s="26"/>
      <c r="O4" s="26"/>
      <c r="P4" s="26"/>
      <c r="Q4" s="26"/>
      <c r="R4" s="26"/>
      <c r="S4" s="26"/>
      <c r="T4" s="26"/>
      <c r="U4" s="26"/>
      <c r="V4" s="26"/>
      <c r="W4" s="26"/>
      <c r="X4" s="26"/>
      <c r="Y4" s="26"/>
    </row>
    <row r="5" spans="1:25" ht="30" x14ac:dyDescent="0.25">
      <c r="A5" s="26"/>
      <c r="B5" s="7">
        <v>2</v>
      </c>
      <c r="C5" s="7" t="s">
        <v>230</v>
      </c>
      <c r="D5" s="7" t="s">
        <v>174</v>
      </c>
      <c r="E5" s="7"/>
      <c r="F5" s="7"/>
      <c r="G5" s="9" t="s">
        <v>177</v>
      </c>
      <c r="H5" s="9" t="s">
        <v>229</v>
      </c>
      <c r="I5" s="9" t="s">
        <v>175</v>
      </c>
      <c r="J5" s="9" t="s">
        <v>175</v>
      </c>
      <c r="K5" s="7" t="s">
        <v>175</v>
      </c>
      <c r="L5" s="26"/>
      <c r="M5" s="26"/>
      <c r="N5" s="26"/>
      <c r="O5" s="26"/>
      <c r="P5" s="26"/>
      <c r="Q5" s="26"/>
      <c r="R5" s="26"/>
      <c r="S5" s="26"/>
      <c r="T5" s="26"/>
      <c r="U5" s="26"/>
      <c r="V5" s="26"/>
      <c r="W5" s="26"/>
      <c r="X5" s="26"/>
      <c r="Y5" s="26"/>
    </row>
    <row r="6" spans="1:25" ht="30" x14ac:dyDescent="0.25">
      <c r="A6" s="26"/>
      <c r="B6" s="7">
        <v>3</v>
      </c>
      <c r="C6" s="7" t="s">
        <v>928</v>
      </c>
      <c r="D6" s="7" t="s">
        <v>174</v>
      </c>
      <c r="E6" s="7"/>
      <c r="F6" s="7"/>
      <c r="G6" s="9" t="s">
        <v>177</v>
      </c>
      <c r="H6" s="9" t="s">
        <v>229</v>
      </c>
      <c r="I6" s="9" t="s">
        <v>175</v>
      </c>
      <c r="J6" s="9" t="s">
        <v>175</v>
      </c>
      <c r="K6" s="7" t="s">
        <v>175</v>
      </c>
      <c r="L6" s="26"/>
      <c r="M6" s="26"/>
      <c r="N6" s="26"/>
      <c r="O6" s="26"/>
      <c r="P6" s="26"/>
      <c r="Q6" s="26"/>
      <c r="R6" s="26"/>
      <c r="S6" s="26"/>
      <c r="T6" s="26"/>
      <c r="U6" s="26"/>
      <c r="V6" s="26"/>
      <c r="W6" s="26"/>
      <c r="X6" s="26"/>
      <c r="Y6" s="26"/>
    </row>
    <row r="7" spans="1:25" ht="30" x14ac:dyDescent="0.25">
      <c r="A7" s="26"/>
      <c r="B7" s="7">
        <v>4</v>
      </c>
      <c r="C7" s="7" t="s">
        <v>232</v>
      </c>
      <c r="D7" s="7" t="s">
        <v>174</v>
      </c>
      <c r="E7" s="7"/>
      <c r="F7" s="7"/>
      <c r="G7" s="9" t="s">
        <v>177</v>
      </c>
      <c r="H7" s="9" t="s">
        <v>229</v>
      </c>
      <c r="I7" s="9" t="s">
        <v>175</v>
      </c>
      <c r="J7" s="9" t="s">
        <v>175</v>
      </c>
      <c r="K7" s="7" t="s">
        <v>175</v>
      </c>
      <c r="L7" s="26"/>
      <c r="M7" s="26"/>
      <c r="N7" s="26"/>
      <c r="O7" s="26"/>
      <c r="P7" s="26"/>
      <c r="Q7" s="26"/>
      <c r="R7" s="26"/>
      <c r="S7" s="26"/>
      <c r="T7" s="26"/>
      <c r="U7" s="26"/>
      <c r="V7" s="26"/>
      <c r="W7" s="26"/>
      <c r="X7" s="26"/>
      <c r="Y7" s="26"/>
    </row>
    <row r="8" spans="1:25" ht="30" x14ac:dyDescent="0.25">
      <c r="A8" s="26"/>
      <c r="B8" s="7">
        <v>5</v>
      </c>
      <c r="C8" s="7" t="s">
        <v>233</v>
      </c>
      <c r="D8" s="7" t="s">
        <v>174</v>
      </c>
      <c r="E8" s="7"/>
      <c r="F8" s="7"/>
      <c r="G8" s="9" t="s">
        <v>175</v>
      </c>
      <c r="H8" s="9" t="s">
        <v>234</v>
      </c>
      <c r="I8" s="9" t="s">
        <v>175</v>
      </c>
      <c r="J8" s="9" t="s">
        <v>175</v>
      </c>
      <c r="K8" s="7" t="s">
        <v>175</v>
      </c>
      <c r="L8" s="26"/>
      <c r="M8" s="26"/>
      <c r="N8" s="26"/>
      <c r="O8" s="26"/>
      <c r="P8" s="26"/>
      <c r="Q8" s="26"/>
      <c r="R8" s="26"/>
      <c r="S8" s="26"/>
      <c r="T8" s="26"/>
      <c r="U8" s="26"/>
      <c r="V8" s="26"/>
      <c r="W8" s="26"/>
      <c r="X8" s="26"/>
      <c r="Y8" s="26"/>
    </row>
    <row r="9" spans="1:25" ht="30" x14ac:dyDescent="0.25">
      <c r="A9" s="26"/>
      <c r="B9" s="7">
        <f>B8+1</f>
        <v>6</v>
      </c>
      <c r="C9" s="7" t="s">
        <v>929</v>
      </c>
      <c r="D9" s="7" t="s">
        <v>174</v>
      </c>
      <c r="E9" s="7"/>
      <c r="F9" s="7"/>
      <c r="G9" s="9" t="s">
        <v>175</v>
      </c>
      <c r="H9" s="9" t="s">
        <v>234</v>
      </c>
      <c r="I9" s="9" t="s">
        <v>175</v>
      </c>
      <c r="J9" s="9" t="s">
        <v>175</v>
      </c>
      <c r="K9" s="7" t="s">
        <v>175</v>
      </c>
      <c r="L9" s="26"/>
      <c r="M9" s="26"/>
      <c r="N9" s="26"/>
      <c r="O9" s="26"/>
      <c r="P9" s="26"/>
      <c r="Q9" s="26"/>
      <c r="R9" s="26"/>
      <c r="S9" s="26"/>
      <c r="T9" s="26"/>
      <c r="U9" s="26"/>
      <c r="V9" s="26"/>
      <c r="W9" s="26"/>
      <c r="X9" s="26"/>
      <c r="Y9" s="26"/>
    </row>
    <row r="10" spans="1:25" ht="30" x14ac:dyDescent="0.25">
      <c r="A10" s="26"/>
      <c r="B10" s="7">
        <f t="shared" ref="B10:B76" si="0">B9+1</f>
        <v>7</v>
      </c>
      <c r="C10" s="7" t="s">
        <v>236</v>
      </c>
      <c r="D10" s="7" t="s">
        <v>174</v>
      </c>
      <c r="E10" s="7"/>
      <c r="F10" s="7"/>
      <c r="G10" s="9" t="s">
        <v>175</v>
      </c>
      <c r="H10" s="9" t="s">
        <v>234</v>
      </c>
      <c r="I10" s="9" t="s">
        <v>175</v>
      </c>
      <c r="J10" s="9" t="s">
        <v>175</v>
      </c>
      <c r="K10" s="7" t="s">
        <v>175</v>
      </c>
      <c r="L10" s="26"/>
      <c r="M10" s="26"/>
      <c r="N10" s="26"/>
      <c r="O10" s="26"/>
      <c r="P10" s="26"/>
      <c r="Q10" s="26"/>
      <c r="R10" s="26"/>
      <c r="S10" s="26"/>
      <c r="T10" s="26"/>
      <c r="U10" s="26"/>
      <c r="V10" s="26"/>
      <c r="W10" s="26"/>
      <c r="X10" s="26"/>
      <c r="Y10" s="26"/>
    </row>
    <row r="11" spans="1:25" ht="30" x14ac:dyDescent="0.25">
      <c r="A11" s="26"/>
      <c r="B11" s="7">
        <f t="shared" si="0"/>
        <v>8</v>
      </c>
      <c r="C11" s="7" t="s">
        <v>237</v>
      </c>
      <c r="D11" s="7" t="s">
        <v>174</v>
      </c>
      <c r="E11" s="7"/>
      <c r="F11" s="7"/>
      <c r="G11" s="9" t="s">
        <v>175</v>
      </c>
      <c r="H11" s="9" t="s">
        <v>234</v>
      </c>
      <c r="I11" s="9" t="s">
        <v>175</v>
      </c>
      <c r="J11" s="9" t="s">
        <v>175</v>
      </c>
      <c r="K11" s="7" t="s">
        <v>175</v>
      </c>
      <c r="L11" s="26"/>
      <c r="M11" s="26"/>
      <c r="N11" s="26"/>
      <c r="O11" s="26"/>
      <c r="P11" s="26"/>
      <c r="Q11" s="26"/>
      <c r="R11" s="26"/>
      <c r="S11" s="26"/>
      <c r="T11" s="26"/>
      <c r="U11" s="26"/>
      <c r="V11" s="26"/>
      <c r="W11" s="26"/>
      <c r="X11" s="26"/>
      <c r="Y11" s="26"/>
    </row>
    <row r="12" spans="1:25" ht="30" x14ac:dyDescent="0.25">
      <c r="A12" s="26"/>
      <c r="B12" s="7">
        <f t="shared" si="0"/>
        <v>9</v>
      </c>
      <c r="C12" s="7" t="s">
        <v>238</v>
      </c>
      <c r="D12" s="7" t="s">
        <v>174</v>
      </c>
      <c r="E12" s="7"/>
      <c r="F12" s="7"/>
      <c r="G12" s="9" t="s">
        <v>175</v>
      </c>
      <c r="H12" s="9" t="s">
        <v>234</v>
      </c>
      <c r="I12" s="9" t="s">
        <v>175</v>
      </c>
      <c r="J12" s="9" t="s">
        <v>175</v>
      </c>
      <c r="K12" s="7" t="s">
        <v>175</v>
      </c>
      <c r="L12" s="26"/>
      <c r="M12" s="26"/>
      <c r="N12" s="26"/>
      <c r="O12" s="26"/>
      <c r="P12" s="26"/>
      <c r="Q12" s="26"/>
      <c r="R12" s="26"/>
      <c r="S12" s="26"/>
      <c r="T12" s="26"/>
      <c r="U12" s="26"/>
      <c r="V12" s="26"/>
      <c r="W12" s="26"/>
      <c r="X12" s="26"/>
      <c r="Y12" s="26"/>
    </row>
    <row r="13" spans="1:25" ht="30" x14ac:dyDescent="0.25">
      <c r="A13" s="26"/>
      <c r="B13" s="7">
        <f t="shared" si="0"/>
        <v>10</v>
      </c>
      <c r="C13" s="7" t="s">
        <v>239</v>
      </c>
      <c r="D13" s="7" t="s">
        <v>174</v>
      </c>
      <c r="E13" s="7"/>
      <c r="F13" s="7"/>
      <c r="G13" s="9" t="s">
        <v>175</v>
      </c>
      <c r="H13" s="9" t="s">
        <v>234</v>
      </c>
      <c r="I13" s="9" t="s">
        <v>175</v>
      </c>
      <c r="J13" s="9" t="s">
        <v>175</v>
      </c>
      <c r="K13" s="7" t="s">
        <v>175</v>
      </c>
      <c r="L13" s="26"/>
      <c r="M13" s="26"/>
      <c r="N13" s="26"/>
      <c r="O13" s="26"/>
      <c r="P13" s="26"/>
      <c r="Q13" s="26"/>
      <c r="R13" s="26"/>
      <c r="S13" s="26"/>
      <c r="T13" s="26"/>
      <c r="U13" s="26"/>
      <c r="V13" s="26"/>
      <c r="W13" s="26"/>
      <c r="X13" s="26"/>
      <c r="Y13" s="26"/>
    </row>
    <row r="14" spans="1:25" ht="30" x14ac:dyDescent="0.25">
      <c r="A14" s="26"/>
      <c r="B14" s="7">
        <f t="shared" si="0"/>
        <v>11</v>
      </c>
      <c r="C14" s="7" t="s">
        <v>240</v>
      </c>
      <c r="D14" s="7" t="s">
        <v>178</v>
      </c>
      <c r="E14" s="7"/>
      <c r="F14" s="7"/>
      <c r="G14" s="9" t="s">
        <v>175</v>
      </c>
      <c r="H14" s="9" t="s">
        <v>234</v>
      </c>
      <c r="I14" s="9" t="s">
        <v>175</v>
      </c>
      <c r="J14" s="9" t="s">
        <v>175</v>
      </c>
      <c r="K14" s="7" t="s">
        <v>175</v>
      </c>
      <c r="L14" s="26"/>
      <c r="M14" s="26"/>
      <c r="N14" s="26"/>
      <c r="O14" s="26"/>
      <c r="P14" s="26"/>
      <c r="Q14" s="26"/>
      <c r="R14" s="26"/>
      <c r="S14" s="26"/>
      <c r="T14" s="26"/>
      <c r="U14" s="26"/>
      <c r="V14" s="26"/>
      <c r="W14" s="26"/>
      <c r="X14" s="26"/>
      <c r="Y14" s="26"/>
    </row>
    <row r="15" spans="1:25" ht="30" x14ac:dyDescent="0.25">
      <c r="A15" s="26"/>
      <c r="B15" s="7">
        <f t="shared" si="0"/>
        <v>12</v>
      </c>
      <c r="C15" s="7" t="s">
        <v>241</v>
      </c>
      <c r="D15" s="7" t="s">
        <v>178</v>
      </c>
      <c r="E15" s="7"/>
      <c r="F15" s="7"/>
      <c r="G15" s="9" t="s">
        <v>175</v>
      </c>
      <c r="H15" s="9" t="s">
        <v>234</v>
      </c>
      <c r="I15" s="9" t="s">
        <v>175</v>
      </c>
      <c r="J15" s="9" t="s">
        <v>175</v>
      </c>
      <c r="K15" s="7" t="s">
        <v>175</v>
      </c>
      <c r="L15" s="26"/>
      <c r="M15" s="26"/>
      <c r="N15" s="26"/>
      <c r="O15" s="26"/>
      <c r="P15" s="26"/>
      <c r="Q15" s="26"/>
      <c r="R15" s="26"/>
      <c r="S15" s="26"/>
      <c r="T15" s="26"/>
      <c r="U15" s="26"/>
      <c r="V15" s="26"/>
      <c r="W15" s="26"/>
      <c r="X15" s="26"/>
      <c r="Y15" s="26"/>
    </row>
    <row r="16" spans="1:25" ht="30" x14ac:dyDescent="0.25">
      <c r="A16" s="26"/>
      <c r="B16" s="7">
        <f t="shared" si="0"/>
        <v>13</v>
      </c>
      <c r="C16" s="7" t="s">
        <v>242</v>
      </c>
      <c r="D16" s="7" t="s">
        <v>178</v>
      </c>
      <c r="E16" s="7"/>
      <c r="F16" s="7"/>
      <c r="G16" s="9" t="s">
        <v>177</v>
      </c>
      <c r="H16" s="9" t="s">
        <v>229</v>
      </c>
      <c r="I16" s="9" t="s">
        <v>175</v>
      </c>
      <c r="J16" s="9" t="s">
        <v>175</v>
      </c>
      <c r="K16" s="7" t="s">
        <v>175</v>
      </c>
      <c r="L16" s="26"/>
      <c r="M16" s="26"/>
      <c r="N16" s="26"/>
      <c r="O16" s="26"/>
      <c r="P16" s="26"/>
      <c r="Q16" s="26"/>
      <c r="R16" s="26"/>
      <c r="S16" s="26"/>
      <c r="T16" s="26"/>
      <c r="U16" s="26"/>
      <c r="V16" s="26"/>
      <c r="W16" s="26"/>
      <c r="X16" s="26"/>
      <c r="Y16" s="26"/>
    </row>
    <row r="17" spans="1:25" ht="30" x14ac:dyDescent="0.25">
      <c r="A17" s="26"/>
      <c r="B17" s="7">
        <f t="shared" si="0"/>
        <v>14</v>
      </c>
      <c r="C17" s="7" t="s">
        <v>243</v>
      </c>
      <c r="D17" s="7" t="s">
        <v>178</v>
      </c>
      <c r="E17" s="7"/>
      <c r="F17" s="7"/>
      <c r="G17" s="9" t="s">
        <v>177</v>
      </c>
      <c r="H17" s="9" t="s">
        <v>229</v>
      </c>
      <c r="I17" s="9" t="s">
        <v>175</v>
      </c>
      <c r="J17" s="9" t="s">
        <v>175</v>
      </c>
      <c r="K17" s="7" t="s">
        <v>175</v>
      </c>
      <c r="L17" s="26"/>
      <c r="M17" s="26"/>
      <c r="N17" s="26"/>
      <c r="O17" s="26"/>
      <c r="P17" s="26"/>
      <c r="Q17" s="26"/>
      <c r="R17" s="26"/>
      <c r="S17" s="26"/>
      <c r="T17" s="26"/>
      <c r="U17" s="26"/>
      <c r="V17" s="26"/>
      <c r="W17" s="26"/>
      <c r="X17" s="26"/>
      <c r="Y17" s="26"/>
    </row>
    <row r="18" spans="1:25" ht="30" x14ac:dyDescent="0.25">
      <c r="A18" s="26"/>
      <c r="B18" s="7">
        <f t="shared" si="0"/>
        <v>15</v>
      </c>
      <c r="C18" s="7" t="s">
        <v>244</v>
      </c>
      <c r="D18" s="7" t="s">
        <v>178</v>
      </c>
      <c r="E18" s="7"/>
      <c r="F18" s="7"/>
      <c r="G18" s="9" t="s">
        <v>177</v>
      </c>
      <c r="H18" s="9" t="s">
        <v>229</v>
      </c>
      <c r="I18" s="9" t="s">
        <v>175</v>
      </c>
      <c r="J18" s="9" t="s">
        <v>175</v>
      </c>
      <c r="K18" s="7" t="s">
        <v>175</v>
      </c>
      <c r="L18" s="26"/>
      <c r="M18" s="26"/>
      <c r="N18" s="26"/>
      <c r="O18" s="26"/>
      <c r="P18" s="26"/>
      <c r="Q18" s="26"/>
      <c r="R18" s="26"/>
      <c r="S18" s="26"/>
      <c r="T18" s="26"/>
      <c r="U18" s="26"/>
      <c r="V18" s="26"/>
      <c r="W18" s="26"/>
      <c r="X18" s="26"/>
      <c r="Y18" s="26"/>
    </row>
    <row r="19" spans="1:25" ht="30" x14ac:dyDescent="0.25">
      <c r="A19" s="26"/>
      <c r="B19" s="7">
        <f t="shared" si="0"/>
        <v>16</v>
      </c>
      <c r="C19" s="7" t="s">
        <v>245</v>
      </c>
      <c r="D19" s="7" t="s">
        <v>179</v>
      </c>
      <c r="E19" s="7"/>
      <c r="F19" s="7"/>
      <c r="G19" s="9" t="s">
        <v>177</v>
      </c>
      <c r="H19" s="9" t="s">
        <v>229</v>
      </c>
      <c r="I19" s="9" t="s">
        <v>175</v>
      </c>
      <c r="J19" s="9" t="s">
        <v>175</v>
      </c>
      <c r="K19" s="7" t="s">
        <v>175</v>
      </c>
      <c r="L19" s="26"/>
      <c r="M19" s="26"/>
      <c r="N19" s="26"/>
      <c r="O19" s="26"/>
      <c r="P19" s="26"/>
      <c r="Q19" s="26"/>
      <c r="R19" s="26"/>
      <c r="S19" s="26"/>
      <c r="T19" s="26"/>
      <c r="U19" s="26"/>
      <c r="V19" s="26"/>
      <c r="W19" s="26"/>
      <c r="X19" s="26"/>
      <c r="Y19" s="26"/>
    </row>
    <row r="20" spans="1:25" ht="30" x14ac:dyDescent="0.25">
      <c r="A20" s="26"/>
      <c r="B20" s="7">
        <f t="shared" si="0"/>
        <v>17</v>
      </c>
      <c r="C20" s="7" t="s">
        <v>246</v>
      </c>
      <c r="D20" s="7" t="s">
        <v>179</v>
      </c>
      <c r="E20" s="7"/>
      <c r="F20" s="7"/>
      <c r="G20" s="9" t="s">
        <v>177</v>
      </c>
      <c r="H20" s="9" t="s">
        <v>229</v>
      </c>
      <c r="I20" s="9" t="s">
        <v>175</v>
      </c>
      <c r="J20" s="9" t="s">
        <v>175</v>
      </c>
      <c r="K20" s="7" t="s">
        <v>175</v>
      </c>
      <c r="L20" s="26"/>
      <c r="M20" s="26"/>
      <c r="N20" s="26"/>
      <c r="O20" s="26"/>
      <c r="P20" s="26"/>
      <c r="Q20" s="26"/>
      <c r="R20" s="26"/>
      <c r="S20" s="26"/>
      <c r="T20" s="26"/>
      <c r="U20" s="26"/>
      <c r="V20" s="26"/>
      <c r="W20" s="26"/>
      <c r="X20" s="26"/>
      <c r="Y20" s="26"/>
    </row>
    <row r="21" spans="1:25" ht="30" x14ac:dyDescent="0.25">
      <c r="A21" s="26"/>
      <c r="B21" s="7">
        <f t="shared" si="0"/>
        <v>18</v>
      </c>
      <c r="C21" s="7" t="s">
        <v>247</v>
      </c>
      <c r="D21" s="7" t="s">
        <v>179</v>
      </c>
      <c r="E21" s="7"/>
      <c r="F21" s="7"/>
      <c r="G21" s="9" t="s">
        <v>177</v>
      </c>
      <c r="H21" s="9" t="s">
        <v>229</v>
      </c>
      <c r="I21" s="9" t="s">
        <v>175</v>
      </c>
      <c r="J21" s="9" t="s">
        <v>175</v>
      </c>
      <c r="K21" s="7" t="s">
        <v>175</v>
      </c>
      <c r="L21" s="26"/>
      <c r="M21" s="26"/>
      <c r="N21" s="26"/>
      <c r="O21" s="26"/>
      <c r="P21" s="26"/>
      <c r="Q21" s="26"/>
      <c r="R21" s="26"/>
      <c r="S21" s="26"/>
      <c r="T21" s="26"/>
      <c r="U21" s="26"/>
      <c r="V21" s="26"/>
      <c r="W21" s="26"/>
      <c r="X21" s="26"/>
      <c r="Y21" s="26"/>
    </row>
    <row r="22" spans="1:25" ht="30" x14ac:dyDescent="0.25">
      <c r="A22" s="26"/>
      <c r="B22" s="7">
        <f t="shared" si="0"/>
        <v>19</v>
      </c>
      <c r="C22" s="7" t="s">
        <v>248</v>
      </c>
      <c r="D22" s="7" t="s">
        <v>179</v>
      </c>
      <c r="E22" s="7"/>
      <c r="F22" s="7"/>
      <c r="G22" s="9" t="s">
        <v>177</v>
      </c>
      <c r="H22" s="9" t="s">
        <v>229</v>
      </c>
      <c r="I22" s="9" t="s">
        <v>175</v>
      </c>
      <c r="J22" s="9" t="s">
        <v>175</v>
      </c>
      <c r="K22" s="7" t="s">
        <v>175</v>
      </c>
      <c r="L22" s="26"/>
      <c r="M22" s="26"/>
      <c r="N22" s="26"/>
      <c r="O22" s="26"/>
      <c r="P22" s="26"/>
      <c r="Q22" s="26"/>
      <c r="R22" s="26"/>
      <c r="S22" s="26"/>
      <c r="T22" s="26"/>
      <c r="U22" s="26"/>
      <c r="V22" s="26"/>
      <c r="W22" s="26"/>
      <c r="X22" s="26"/>
      <c r="Y22" s="26"/>
    </row>
    <row r="23" spans="1:25" ht="30" x14ac:dyDescent="0.25">
      <c r="A23" s="26"/>
      <c r="B23" s="7">
        <f t="shared" si="0"/>
        <v>20</v>
      </c>
      <c r="C23" s="7" t="s">
        <v>249</v>
      </c>
      <c r="D23" s="7" t="s">
        <v>179</v>
      </c>
      <c r="E23" s="7"/>
      <c r="F23" s="7"/>
      <c r="G23" s="9" t="s">
        <v>177</v>
      </c>
      <c r="H23" s="9" t="s">
        <v>229</v>
      </c>
      <c r="I23" s="9" t="s">
        <v>177</v>
      </c>
      <c r="J23" s="9" t="s">
        <v>177</v>
      </c>
      <c r="K23" s="7" t="s">
        <v>175</v>
      </c>
      <c r="L23" s="26"/>
      <c r="M23" s="26"/>
      <c r="N23" s="26"/>
      <c r="O23" s="26"/>
      <c r="P23" s="26"/>
      <c r="Q23" s="26"/>
      <c r="R23" s="26"/>
      <c r="S23" s="26"/>
      <c r="T23" s="26"/>
      <c r="U23" s="26"/>
      <c r="V23" s="26"/>
      <c r="W23" s="26"/>
      <c r="X23" s="26"/>
      <c r="Y23" s="26"/>
    </row>
    <row r="24" spans="1:25" ht="30" x14ac:dyDescent="0.25">
      <c r="A24" s="26"/>
      <c r="B24" s="7">
        <f t="shared" si="0"/>
        <v>21</v>
      </c>
      <c r="C24" s="7" t="s">
        <v>250</v>
      </c>
      <c r="D24" s="7" t="s">
        <v>179</v>
      </c>
      <c r="E24" s="7"/>
      <c r="F24" s="7"/>
      <c r="G24" s="9" t="s">
        <v>177</v>
      </c>
      <c r="H24" s="9" t="s">
        <v>229</v>
      </c>
      <c r="I24" s="9" t="s">
        <v>175</v>
      </c>
      <c r="J24" s="9" t="s">
        <v>175</v>
      </c>
      <c r="K24" s="7" t="s">
        <v>175</v>
      </c>
      <c r="L24" s="26"/>
      <c r="M24" s="26"/>
      <c r="N24" s="26"/>
      <c r="O24" s="26"/>
      <c r="P24" s="26"/>
      <c r="Q24" s="26"/>
      <c r="R24" s="26"/>
      <c r="S24" s="26"/>
      <c r="T24" s="26"/>
      <c r="U24" s="26"/>
      <c r="V24" s="26"/>
      <c r="W24" s="26"/>
      <c r="X24" s="26"/>
      <c r="Y24" s="26"/>
    </row>
    <row r="25" spans="1:25" ht="30" x14ac:dyDescent="0.25">
      <c r="A25" s="26"/>
      <c r="B25" s="7">
        <f t="shared" si="0"/>
        <v>22</v>
      </c>
      <c r="C25" s="7" t="s">
        <v>251</v>
      </c>
      <c r="D25" s="7" t="s">
        <v>179</v>
      </c>
      <c r="E25" s="7"/>
      <c r="F25" s="7"/>
      <c r="G25" s="9" t="s">
        <v>175</v>
      </c>
      <c r="H25" s="9" t="s">
        <v>234</v>
      </c>
      <c r="I25" s="9" t="s">
        <v>175</v>
      </c>
      <c r="J25" s="9" t="s">
        <v>175</v>
      </c>
      <c r="K25" s="7" t="s">
        <v>175</v>
      </c>
      <c r="L25" s="26"/>
      <c r="M25" s="26"/>
      <c r="N25" s="26"/>
      <c r="O25" s="26"/>
      <c r="P25" s="26"/>
      <c r="Q25" s="26"/>
      <c r="R25" s="26"/>
      <c r="S25" s="26"/>
      <c r="T25" s="26"/>
      <c r="U25" s="26"/>
      <c r="V25" s="26"/>
      <c r="W25" s="26"/>
      <c r="X25" s="26"/>
      <c r="Y25" s="26"/>
    </row>
    <row r="26" spans="1:25" ht="30" x14ac:dyDescent="0.25">
      <c r="A26" s="26"/>
      <c r="B26" s="7">
        <f>B25+1</f>
        <v>23</v>
      </c>
      <c r="C26" s="7" t="s">
        <v>930</v>
      </c>
      <c r="D26" s="7" t="s">
        <v>179</v>
      </c>
      <c r="E26" s="7"/>
      <c r="F26" s="7"/>
      <c r="G26" s="9" t="s">
        <v>175</v>
      </c>
      <c r="H26" s="9" t="s">
        <v>234</v>
      </c>
      <c r="I26" s="9" t="s">
        <v>175</v>
      </c>
      <c r="J26" s="9" t="s">
        <v>175</v>
      </c>
      <c r="K26" s="7" t="s">
        <v>175</v>
      </c>
      <c r="L26" s="26"/>
      <c r="M26" s="26"/>
      <c r="N26" s="26"/>
      <c r="O26" s="26"/>
      <c r="P26" s="26"/>
      <c r="Q26" s="26"/>
      <c r="R26" s="26"/>
      <c r="S26" s="26"/>
      <c r="T26" s="26"/>
      <c r="U26" s="26"/>
      <c r="V26" s="26"/>
      <c r="W26" s="26"/>
      <c r="X26" s="26"/>
      <c r="Y26" s="26"/>
    </row>
    <row r="27" spans="1:25" ht="29.1" customHeight="1" x14ac:dyDescent="0.25">
      <c r="A27" s="26"/>
      <c r="B27" s="7">
        <f>B26+1</f>
        <v>24</v>
      </c>
      <c r="C27" s="7" t="s">
        <v>940</v>
      </c>
      <c r="D27" s="7" t="s">
        <v>179</v>
      </c>
      <c r="E27" s="7"/>
      <c r="F27" s="7"/>
      <c r="G27" s="9" t="s">
        <v>177</v>
      </c>
      <c r="H27" s="9" t="s">
        <v>229</v>
      </c>
      <c r="I27" s="9" t="s">
        <v>175</v>
      </c>
      <c r="J27" s="9" t="s">
        <v>175</v>
      </c>
      <c r="K27" s="7"/>
      <c r="L27" s="26"/>
      <c r="M27" s="26"/>
      <c r="N27" s="26"/>
      <c r="O27" s="26"/>
      <c r="P27" s="26"/>
      <c r="Q27" s="26"/>
      <c r="R27" s="26"/>
      <c r="S27" s="26"/>
      <c r="T27" s="26"/>
      <c r="U27" s="26"/>
      <c r="V27" s="26"/>
      <c r="W27" s="26"/>
      <c r="X27" s="26"/>
      <c r="Y27" s="26"/>
    </row>
    <row r="28" spans="1:25" ht="29.1" customHeight="1" x14ac:dyDescent="0.25">
      <c r="A28" s="26"/>
      <c r="B28" s="7">
        <f>B27+1</f>
        <v>25</v>
      </c>
      <c r="C28" s="7" t="s">
        <v>253</v>
      </c>
      <c r="D28" s="7" t="s">
        <v>182</v>
      </c>
      <c r="E28" s="7"/>
      <c r="F28" s="7"/>
      <c r="G28" s="9" t="s">
        <v>175</v>
      </c>
      <c r="H28" s="9" t="s">
        <v>234</v>
      </c>
      <c r="I28" s="9" t="s">
        <v>175</v>
      </c>
      <c r="J28" s="9" t="s">
        <v>254</v>
      </c>
      <c r="K28" s="7" t="s">
        <v>175</v>
      </c>
      <c r="L28" s="26"/>
      <c r="M28" s="26"/>
      <c r="N28" s="26"/>
      <c r="O28" s="26"/>
      <c r="P28" s="26"/>
      <c r="Q28" s="26"/>
      <c r="R28" s="26"/>
      <c r="S28" s="26"/>
      <c r="T28" s="26"/>
      <c r="U28" s="26"/>
      <c r="V28" s="26"/>
      <c r="W28" s="26"/>
      <c r="X28" s="26"/>
      <c r="Y28" s="26"/>
    </row>
    <row r="29" spans="1:25" ht="30" x14ac:dyDescent="0.25">
      <c r="A29" s="26"/>
      <c r="B29" s="7">
        <f t="shared" si="0"/>
        <v>26</v>
      </c>
      <c r="C29" s="7" t="s">
        <v>931</v>
      </c>
      <c r="D29" s="7" t="s">
        <v>182</v>
      </c>
      <c r="E29" s="7"/>
      <c r="F29" s="7"/>
      <c r="G29" s="9" t="s">
        <v>177</v>
      </c>
      <c r="H29" s="9" t="s">
        <v>229</v>
      </c>
      <c r="I29" s="9" t="s">
        <v>175</v>
      </c>
      <c r="J29" s="9" t="s">
        <v>177</v>
      </c>
      <c r="K29" s="7" t="s">
        <v>175</v>
      </c>
      <c r="L29" s="26"/>
      <c r="M29" s="26"/>
      <c r="N29" s="26"/>
      <c r="O29" s="26"/>
      <c r="P29" s="26"/>
      <c r="Q29" s="26"/>
      <c r="R29" s="26"/>
      <c r="S29" s="26"/>
      <c r="T29" s="26"/>
      <c r="U29" s="26"/>
      <c r="V29" s="26"/>
      <c r="W29" s="26"/>
      <c r="X29" s="26"/>
      <c r="Y29" s="26"/>
    </row>
    <row r="30" spans="1:25" ht="30" x14ac:dyDescent="0.25">
      <c r="A30" s="26"/>
      <c r="B30" s="7">
        <f t="shared" si="0"/>
        <v>27</v>
      </c>
      <c r="C30" s="7" t="s">
        <v>256</v>
      </c>
      <c r="D30" s="7" t="s">
        <v>182</v>
      </c>
      <c r="E30" s="7"/>
      <c r="F30" s="7"/>
      <c r="G30" s="9" t="s">
        <v>177</v>
      </c>
      <c r="H30" s="9" t="s">
        <v>229</v>
      </c>
      <c r="I30" s="9" t="s">
        <v>177</v>
      </c>
      <c r="J30" s="9" t="s">
        <v>177</v>
      </c>
      <c r="K30" s="7" t="s">
        <v>175</v>
      </c>
      <c r="L30" s="26"/>
      <c r="M30" s="26"/>
      <c r="N30" s="26"/>
      <c r="O30" s="26"/>
      <c r="P30" s="26"/>
      <c r="Q30" s="26"/>
      <c r="R30" s="26"/>
      <c r="S30" s="26"/>
      <c r="T30" s="26"/>
      <c r="U30" s="26"/>
      <c r="V30" s="26"/>
      <c r="W30" s="26"/>
      <c r="X30" s="26"/>
      <c r="Y30" s="26"/>
    </row>
    <row r="31" spans="1:25" ht="30" x14ac:dyDescent="0.25">
      <c r="A31" s="26"/>
      <c r="B31" s="7">
        <f t="shared" si="0"/>
        <v>28</v>
      </c>
      <c r="C31" s="7" t="s">
        <v>257</v>
      </c>
      <c r="D31" s="7" t="s">
        <v>183</v>
      </c>
      <c r="E31" s="7"/>
      <c r="F31" s="7"/>
      <c r="G31" s="9" t="s">
        <v>175</v>
      </c>
      <c r="H31" s="9" t="s">
        <v>234</v>
      </c>
      <c r="I31" s="9" t="s">
        <v>175</v>
      </c>
      <c r="J31" s="9" t="s">
        <v>177</v>
      </c>
      <c r="K31" s="7" t="s">
        <v>175</v>
      </c>
      <c r="L31" s="26"/>
      <c r="M31" s="26"/>
      <c r="N31" s="26"/>
      <c r="O31" s="26"/>
      <c r="P31" s="26"/>
      <c r="Q31" s="26"/>
      <c r="R31" s="26"/>
      <c r="S31" s="26"/>
      <c r="T31" s="26"/>
      <c r="U31" s="26"/>
      <c r="V31" s="26"/>
      <c r="W31" s="26"/>
      <c r="X31" s="26"/>
      <c r="Y31" s="26"/>
    </row>
    <row r="32" spans="1:25" ht="30" x14ac:dyDescent="0.25">
      <c r="A32" s="26"/>
      <c r="B32" s="7">
        <f t="shared" si="0"/>
        <v>29</v>
      </c>
      <c r="C32" s="7" t="s">
        <v>258</v>
      </c>
      <c r="D32" s="7" t="s">
        <v>183</v>
      </c>
      <c r="E32" s="7"/>
      <c r="F32" s="7"/>
      <c r="G32" s="9" t="s">
        <v>177</v>
      </c>
      <c r="H32" s="9" t="s">
        <v>229</v>
      </c>
      <c r="I32" s="9" t="s">
        <v>177</v>
      </c>
      <c r="J32" s="9" t="s">
        <v>177</v>
      </c>
      <c r="K32" s="7" t="s">
        <v>175</v>
      </c>
      <c r="L32" s="26"/>
      <c r="M32" s="26"/>
      <c r="N32" s="26"/>
      <c r="O32" s="26"/>
      <c r="P32" s="26"/>
      <c r="Q32" s="26"/>
      <c r="R32" s="26"/>
      <c r="S32" s="26"/>
      <c r="T32" s="26"/>
      <c r="U32" s="26"/>
      <c r="V32" s="26"/>
      <c r="W32" s="26"/>
      <c r="X32" s="26"/>
      <c r="Y32" s="26"/>
    </row>
    <row r="33" spans="1:25" ht="29.45" customHeight="1" x14ac:dyDescent="0.25">
      <c r="A33" s="26"/>
      <c r="B33" s="7">
        <f t="shared" si="0"/>
        <v>30</v>
      </c>
      <c r="C33" s="7" t="s">
        <v>941</v>
      </c>
      <c r="D33" s="7" t="s">
        <v>183</v>
      </c>
      <c r="E33" s="7"/>
      <c r="F33" s="7"/>
      <c r="G33" s="9" t="s">
        <v>175</v>
      </c>
      <c r="H33" s="9" t="s">
        <v>234</v>
      </c>
      <c r="I33" s="9" t="s">
        <v>175</v>
      </c>
      <c r="J33" s="9" t="s">
        <v>177</v>
      </c>
      <c r="K33" s="7"/>
      <c r="L33" s="26"/>
      <c r="M33" s="26"/>
      <c r="N33" s="26"/>
      <c r="O33" s="26"/>
      <c r="P33" s="26"/>
      <c r="Q33" s="26"/>
      <c r="R33" s="26"/>
      <c r="S33" s="26"/>
      <c r="T33" s="26"/>
      <c r="U33" s="26"/>
      <c r="V33" s="26"/>
      <c r="W33" s="26"/>
      <c r="X33" s="26"/>
      <c r="Y33" s="26"/>
    </row>
    <row r="34" spans="1:25" ht="30" x14ac:dyDescent="0.25">
      <c r="A34" s="26"/>
      <c r="B34" s="7">
        <f>B33+1</f>
        <v>31</v>
      </c>
      <c r="C34" s="7" t="s">
        <v>259</v>
      </c>
      <c r="D34" s="7" t="s">
        <v>79</v>
      </c>
      <c r="E34" s="7"/>
      <c r="F34" s="7"/>
      <c r="G34" s="9" t="s">
        <v>175</v>
      </c>
      <c r="H34" s="9" t="s">
        <v>234</v>
      </c>
      <c r="I34" s="9" t="s">
        <v>175</v>
      </c>
      <c r="J34" s="9" t="s">
        <v>175</v>
      </c>
      <c r="K34" s="7" t="s">
        <v>175</v>
      </c>
      <c r="L34" s="26"/>
      <c r="M34" s="26"/>
      <c r="N34" s="26"/>
      <c r="O34" s="26"/>
      <c r="P34" s="26"/>
      <c r="Q34" s="26"/>
      <c r="R34" s="26"/>
      <c r="S34" s="26"/>
      <c r="T34" s="26"/>
      <c r="U34" s="26"/>
      <c r="V34" s="26"/>
      <c r="W34" s="26"/>
      <c r="X34" s="26"/>
      <c r="Y34" s="26"/>
    </row>
    <row r="35" spans="1:25" ht="27.95" customHeight="1" x14ac:dyDescent="0.25">
      <c r="A35" s="26"/>
      <c r="B35" s="7">
        <f t="shared" si="0"/>
        <v>32</v>
      </c>
      <c r="C35" s="7" t="s">
        <v>260</v>
      </c>
      <c r="D35" s="7" t="s">
        <v>79</v>
      </c>
      <c r="E35" s="7"/>
      <c r="F35" s="7"/>
      <c r="G35" s="9" t="s">
        <v>261</v>
      </c>
      <c r="H35" s="9" t="s">
        <v>262</v>
      </c>
      <c r="I35" s="9" t="s">
        <v>175</v>
      </c>
      <c r="J35" s="9" t="s">
        <v>175</v>
      </c>
      <c r="K35" s="7" t="s">
        <v>175</v>
      </c>
      <c r="L35" s="26"/>
      <c r="M35" s="26"/>
      <c r="N35" s="26"/>
      <c r="O35" s="26"/>
      <c r="P35" s="26"/>
      <c r="Q35" s="26"/>
      <c r="R35" s="26"/>
      <c r="S35" s="26"/>
      <c r="T35" s="26"/>
      <c r="U35" s="26"/>
      <c r="V35" s="26"/>
      <c r="W35" s="26"/>
      <c r="X35" s="26"/>
      <c r="Y35" s="26"/>
    </row>
    <row r="36" spans="1:25" ht="30" x14ac:dyDescent="0.25">
      <c r="A36" s="26"/>
      <c r="B36" s="7">
        <f t="shared" si="0"/>
        <v>33</v>
      </c>
      <c r="C36" s="7" t="s">
        <v>263</v>
      </c>
      <c r="D36" s="7" t="s">
        <v>79</v>
      </c>
      <c r="E36" s="7"/>
      <c r="F36" s="7"/>
      <c r="G36" s="9" t="s">
        <v>175</v>
      </c>
      <c r="H36" s="9" t="s">
        <v>234</v>
      </c>
      <c r="I36" s="9" t="s">
        <v>177</v>
      </c>
      <c r="J36" s="9" t="s">
        <v>175</v>
      </c>
      <c r="K36" s="7" t="s">
        <v>175</v>
      </c>
      <c r="L36" s="26"/>
      <c r="M36" s="26"/>
      <c r="N36" s="26"/>
      <c r="O36" s="26"/>
      <c r="P36" s="26"/>
      <c r="Q36" s="26"/>
      <c r="R36" s="26"/>
      <c r="S36" s="26"/>
      <c r="T36" s="26"/>
      <c r="U36" s="26"/>
      <c r="V36" s="26"/>
      <c r="W36" s="26"/>
      <c r="X36" s="26"/>
      <c r="Y36" s="26"/>
    </row>
    <row r="37" spans="1:25" ht="30" x14ac:dyDescent="0.25">
      <c r="A37" s="26"/>
      <c r="B37" s="7">
        <f t="shared" si="0"/>
        <v>34</v>
      </c>
      <c r="C37" s="7" t="s">
        <v>264</v>
      </c>
      <c r="D37" s="7" t="s">
        <v>79</v>
      </c>
      <c r="E37" s="7"/>
      <c r="F37" s="7"/>
      <c r="G37" s="9" t="s">
        <v>177</v>
      </c>
      <c r="H37" s="9" t="s">
        <v>229</v>
      </c>
      <c r="I37" s="9" t="s">
        <v>177</v>
      </c>
      <c r="J37" s="9" t="s">
        <v>175</v>
      </c>
      <c r="K37" s="7" t="s">
        <v>175</v>
      </c>
      <c r="L37" s="26"/>
      <c r="M37" s="26"/>
      <c r="N37" s="26"/>
      <c r="O37" s="26"/>
      <c r="P37" s="26"/>
      <c r="Q37" s="26"/>
      <c r="R37" s="26"/>
      <c r="S37" s="26"/>
      <c r="T37" s="26"/>
      <c r="U37" s="26"/>
      <c r="V37" s="26"/>
      <c r="W37" s="26"/>
      <c r="X37" s="26"/>
      <c r="Y37" s="26"/>
    </row>
    <row r="38" spans="1:25" ht="29.1" customHeight="1" x14ac:dyDescent="0.25">
      <c r="A38" s="26"/>
      <c r="B38" s="7">
        <f t="shared" si="0"/>
        <v>35</v>
      </c>
      <c r="C38" s="7" t="s">
        <v>265</v>
      </c>
      <c r="D38" s="7" t="s">
        <v>79</v>
      </c>
      <c r="E38" s="7"/>
      <c r="F38" s="7"/>
      <c r="G38" s="9" t="s">
        <v>261</v>
      </c>
      <c r="H38" s="9" t="s">
        <v>262</v>
      </c>
      <c r="I38" s="9" t="s">
        <v>175</v>
      </c>
      <c r="J38" s="9" t="s">
        <v>175</v>
      </c>
      <c r="K38" s="7" t="s">
        <v>175</v>
      </c>
      <c r="L38" s="26"/>
      <c r="M38" s="26"/>
      <c r="N38" s="26"/>
      <c r="O38" s="26"/>
      <c r="P38" s="26"/>
      <c r="Q38" s="26"/>
      <c r="R38" s="26"/>
      <c r="S38" s="26"/>
      <c r="T38" s="26"/>
      <c r="U38" s="26"/>
      <c r="V38" s="26"/>
      <c r="W38" s="26"/>
      <c r="X38" s="26"/>
      <c r="Y38" s="26"/>
    </row>
    <row r="39" spans="1:25" ht="30" x14ac:dyDescent="0.25">
      <c r="A39" s="26"/>
      <c r="B39" s="7">
        <f t="shared" si="0"/>
        <v>36</v>
      </c>
      <c r="C39" s="7" t="s">
        <v>266</v>
      </c>
      <c r="D39" s="7" t="s">
        <v>79</v>
      </c>
      <c r="E39" s="7"/>
      <c r="F39" s="7"/>
      <c r="G39" s="9" t="s">
        <v>177</v>
      </c>
      <c r="H39" s="9" t="s">
        <v>229</v>
      </c>
      <c r="I39" s="9" t="s">
        <v>177</v>
      </c>
      <c r="J39" s="9" t="s">
        <v>175</v>
      </c>
      <c r="K39" s="7" t="s">
        <v>175</v>
      </c>
      <c r="L39" s="26"/>
      <c r="M39" s="26"/>
      <c r="N39" s="26"/>
      <c r="O39" s="26"/>
      <c r="P39" s="26"/>
      <c r="Q39" s="26"/>
      <c r="R39" s="26"/>
      <c r="S39" s="26"/>
      <c r="T39" s="26"/>
      <c r="U39" s="26"/>
      <c r="V39" s="26"/>
      <c r="W39" s="26"/>
      <c r="X39" s="26"/>
      <c r="Y39" s="26"/>
    </row>
    <row r="40" spans="1:25" ht="29.45" customHeight="1" x14ac:dyDescent="0.25">
      <c r="A40" s="26"/>
      <c r="B40" s="7">
        <f t="shared" si="0"/>
        <v>37</v>
      </c>
      <c r="C40" s="7" t="s">
        <v>267</v>
      </c>
      <c r="D40" s="7" t="s">
        <v>79</v>
      </c>
      <c r="E40" s="7"/>
      <c r="F40" s="7"/>
      <c r="G40" s="9" t="s">
        <v>261</v>
      </c>
      <c r="H40" s="9" t="s">
        <v>262</v>
      </c>
      <c r="I40" s="9" t="s">
        <v>175</v>
      </c>
      <c r="J40" s="9" t="s">
        <v>177</v>
      </c>
      <c r="K40" s="7" t="s">
        <v>175</v>
      </c>
      <c r="L40" s="26"/>
      <c r="M40" s="26"/>
      <c r="N40" s="26"/>
      <c r="O40" s="26"/>
      <c r="P40" s="26"/>
      <c r="Q40" s="26"/>
      <c r="R40" s="26"/>
      <c r="S40" s="26"/>
      <c r="T40" s="26"/>
      <c r="U40" s="26"/>
      <c r="V40" s="26"/>
      <c r="W40" s="26"/>
      <c r="X40" s="26"/>
      <c r="Y40" s="26"/>
    </row>
    <row r="41" spans="1:25" ht="30" x14ac:dyDescent="0.25">
      <c r="A41" s="26"/>
      <c r="B41" s="7">
        <f t="shared" si="0"/>
        <v>38</v>
      </c>
      <c r="C41" s="7" t="s">
        <v>268</v>
      </c>
      <c r="D41" s="7" t="s">
        <v>79</v>
      </c>
      <c r="E41" s="7"/>
      <c r="F41" s="7"/>
      <c r="G41" s="9" t="s">
        <v>175</v>
      </c>
      <c r="H41" s="9" t="s">
        <v>234</v>
      </c>
      <c r="I41" s="9" t="s">
        <v>177</v>
      </c>
      <c r="J41" s="9" t="s">
        <v>177</v>
      </c>
      <c r="K41" s="7" t="s">
        <v>175</v>
      </c>
      <c r="L41" s="26"/>
      <c r="M41" s="26"/>
      <c r="N41" s="26"/>
      <c r="O41" s="26"/>
      <c r="P41" s="26"/>
      <c r="Q41" s="26"/>
      <c r="R41" s="26"/>
      <c r="S41" s="26"/>
      <c r="T41" s="26"/>
      <c r="U41" s="26"/>
      <c r="V41" s="26"/>
      <c r="W41" s="26"/>
      <c r="X41" s="26"/>
      <c r="Y41" s="26"/>
    </row>
    <row r="42" spans="1:25" ht="30" x14ac:dyDescent="0.25">
      <c r="A42" s="26"/>
      <c r="B42" s="7">
        <f t="shared" si="0"/>
        <v>39</v>
      </c>
      <c r="C42" s="7" t="s">
        <v>269</v>
      </c>
      <c r="D42" s="7" t="s">
        <v>79</v>
      </c>
      <c r="E42" s="7"/>
      <c r="F42" s="7"/>
      <c r="G42" s="9" t="s">
        <v>175</v>
      </c>
      <c r="H42" s="9" t="s">
        <v>234</v>
      </c>
      <c r="I42" s="9" t="s">
        <v>177</v>
      </c>
      <c r="J42" s="9" t="s">
        <v>177</v>
      </c>
      <c r="K42" s="7" t="s">
        <v>175</v>
      </c>
      <c r="L42" s="26"/>
      <c r="M42" s="26"/>
      <c r="N42" s="26"/>
      <c r="O42" s="26"/>
      <c r="P42" s="26"/>
      <c r="Q42" s="26"/>
      <c r="R42" s="26"/>
      <c r="S42" s="26"/>
      <c r="T42" s="26"/>
      <c r="U42" s="26"/>
      <c r="V42" s="26"/>
      <c r="W42" s="26"/>
      <c r="X42" s="26"/>
      <c r="Y42" s="26"/>
    </row>
    <row r="43" spans="1:25" ht="30" x14ac:dyDescent="0.25">
      <c r="A43" s="26"/>
      <c r="B43" s="7">
        <f t="shared" si="0"/>
        <v>40</v>
      </c>
      <c r="C43" s="7" t="s">
        <v>270</v>
      </c>
      <c r="D43" s="7" t="s">
        <v>79</v>
      </c>
      <c r="E43" s="7"/>
      <c r="F43" s="7"/>
      <c r="G43" s="9" t="s">
        <v>175</v>
      </c>
      <c r="H43" s="9" t="s">
        <v>234</v>
      </c>
      <c r="I43" s="9" t="s">
        <v>177</v>
      </c>
      <c r="J43" s="9" t="s">
        <v>177</v>
      </c>
      <c r="K43" s="7" t="s">
        <v>175</v>
      </c>
      <c r="L43" s="26"/>
      <c r="M43" s="26"/>
      <c r="N43" s="26"/>
      <c r="O43" s="26"/>
      <c r="P43" s="26"/>
      <c r="Q43" s="26"/>
      <c r="R43" s="26"/>
      <c r="S43" s="26"/>
      <c r="T43" s="26"/>
      <c r="U43" s="26"/>
      <c r="V43" s="26"/>
      <c r="W43" s="26"/>
      <c r="X43" s="26"/>
      <c r="Y43" s="26"/>
    </row>
    <row r="44" spans="1:25" ht="30" x14ac:dyDescent="0.25">
      <c r="A44" s="26"/>
      <c r="B44" s="7">
        <f t="shared" si="0"/>
        <v>41</v>
      </c>
      <c r="C44" s="7" t="s">
        <v>271</v>
      </c>
      <c r="D44" s="7" t="s">
        <v>79</v>
      </c>
      <c r="E44" s="7"/>
      <c r="F44" s="7"/>
      <c r="G44" s="9" t="s">
        <v>175</v>
      </c>
      <c r="H44" s="9" t="s">
        <v>234</v>
      </c>
      <c r="I44" s="9" t="s">
        <v>175</v>
      </c>
      <c r="J44" s="9" t="s">
        <v>175</v>
      </c>
      <c r="K44" s="7" t="s">
        <v>175</v>
      </c>
      <c r="L44" s="26"/>
      <c r="M44" s="26"/>
      <c r="N44" s="26"/>
      <c r="O44" s="26"/>
      <c r="P44" s="26"/>
      <c r="Q44" s="26"/>
      <c r="R44" s="26"/>
      <c r="S44" s="26"/>
      <c r="T44" s="26"/>
      <c r="U44" s="26"/>
      <c r="V44" s="26"/>
      <c r="W44" s="26"/>
      <c r="X44" s="26"/>
      <c r="Y44" s="26"/>
    </row>
    <row r="45" spans="1:25" ht="30" x14ac:dyDescent="0.25">
      <c r="A45" s="26"/>
      <c r="B45" s="7">
        <f t="shared" si="0"/>
        <v>42</v>
      </c>
      <c r="C45" s="7" t="s">
        <v>272</v>
      </c>
      <c r="D45" s="7" t="s">
        <v>79</v>
      </c>
      <c r="E45" s="7"/>
      <c r="F45" s="7"/>
      <c r="G45" s="9" t="s">
        <v>175</v>
      </c>
      <c r="H45" s="9" t="s">
        <v>234</v>
      </c>
      <c r="I45" s="9" t="s">
        <v>175</v>
      </c>
      <c r="J45" s="9" t="s">
        <v>175</v>
      </c>
      <c r="K45" s="7" t="s">
        <v>175</v>
      </c>
      <c r="L45" s="26"/>
      <c r="M45" s="26"/>
      <c r="N45" s="26"/>
      <c r="O45" s="26"/>
      <c r="P45" s="26"/>
      <c r="Q45" s="26"/>
      <c r="R45" s="26"/>
      <c r="S45" s="26"/>
      <c r="T45" s="26"/>
      <c r="U45" s="26"/>
      <c r="V45" s="26"/>
      <c r="W45" s="26"/>
      <c r="X45" s="26"/>
      <c r="Y45" s="26"/>
    </row>
    <row r="46" spans="1:25" ht="30" x14ac:dyDescent="0.25">
      <c r="A46" s="26"/>
      <c r="B46" s="7">
        <f t="shared" si="0"/>
        <v>43</v>
      </c>
      <c r="C46" s="7" t="s">
        <v>273</v>
      </c>
      <c r="D46" s="7" t="s">
        <v>79</v>
      </c>
      <c r="E46" s="7"/>
      <c r="F46" s="7"/>
      <c r="G46" s="9" t="s">
        <v>175</v>
      </c>
      <c r="H46" s="9" t="s">
        <v>234</v>
      </c>
      <c r="I46" s="9" t="s">
        <v>175</v>
      </c>
      <c r="J46" s="9" t="s">
        <v>175</v>
      </c>
      <c r="K46" s="7" t="s">
        <v>175</v>
      </c>
      <c r="L46" s="26"/>
      <c r="M46" s="26"/>
      <c r="N46" s="26"/>
      <c r="O46" s="26"/>
      <c r="P46" s="26"/>
      <c r="Q46" s="26"/>
      <c r="R46" s="26"/>
      <c r="S46" s="26"/>
      <c r="T46" s="26"/>
      <c r="U46" s="26"/>
      <c r="V46" s="26"/>
      <c r="W46" s="26"/>
      <c r="X46" s="26"/>
      <c r="Y46" s="26"/>
    </row>
    <row r="47" spans="1:25" ht="30" x14ac:dyDescent="0.25">
      <c r="A47" s="26"/>
      <c r="B47" s="7">
        <f t="shared" si="0"/>
        <v>44</v>
      </c>
      <c r="C47" s="7" t="s">
        <v>274</v>
      </c>
      <c r="D47" s="7" t="s">
        <v>79</v>
      </c>
      <c r="E47" s="7"/>
      <c r="F47" s="7"/>
      <c r="G47" s="9" t="s">
        <v>175</v>
      </c>
      <c r="H47" s="9" t="s">
        <v>234</v>
      </c>
      <c r="I47" s="9" t="s">
        <v>175</v>
      </c>
      <c r="J47" s="9" t="s">
        <v>175</v>
      </c>
      <c r="K47" s="7" t="s">
        <v>175</v>
      </c>
      <c r="L47" s="26"/>
      <c r="M47" s="26"/>
      <c r="N47" s="26"/>
      <c r="O47" s="26"/>
      <c r="P47" s="26"/>
      <c r="Q47" s="26"/>
      <c r="R47" s="26"/>
      <c r="S47" s="26"/>
      <c r="T47" s="26"/>
      <c r="U47" s="26"/>
      <c r="V47" s="26"/>
      <c r="W47" s="26"/>
      <c r="X47" s="26"/>
      <c r="Y47" s="26"/>
    </row>
    <row r="48" spans="1:25" ht="30" x14ac:dyDescent="0.25">
      <c r="A48" s="26"/>
      <c r="B48" s="7">
        <f t="shared" si="0"/>
        <v>45</v>
      </c>
      <c r="C48" s="7" t="s">
        <v>915</v>
      </c>
      <c r="D48" s="7" t="s">
        <v>79</v>
      </c>
      <c r="E48" s="7"/>
      <c r="F48" s="7"/>
      <c r="G48" s="9" t="s">
        <v>175</v>
      </c>
      <c r="H48" s="9" t="s">
        <v>234</v>
      </c>
      <c r="I48" s="9" t="s">
        <v>177</v>
      </c>
      <c r="J48" s="9" t="s">
        <v>177</v>
      </c>
      <c r="K48" s="7" t="s">
        <v>175</v>
      </c>
      <c r="L48" s="26"/>
      <c r="M48" s="26"/>
      <c r="N48" s="26"/>
      <c r="O48" s="26"/>
      <c r="P48" s="26"/>
      <c r="Q48" s="26"/>
      <c r="R48" s="26"/>
      <c r="S48" s="26"/>
      <c r="T48" s="26"/>
      <c r="U48" s="26"/>
      <c r="V48" s="26"/>
      <c r="W48" s="26"/>
      <c r="X48" s="26"/>
      <c r="Y48" s="26"/>
    </row>
    <row r="49" spans="1:25" ht="30" x14ac:dyDescent="0.25">
      <c r="A49" s="26"/>
      <c r="B49" s="7">
        <f t="shared" si="0"/>
        <v>46</v>
      </c>
      <c r="C49" s="7" t="s">
        <v>950</v>
      </c>
      <c r="D49" s="7" t="s">
        <v>949</v>
      </c>
      <c r="E49" s="7"/>
      <c r="F49" s="7"/>
      <c r="G49" s="9" t="s">
        <v>177</v>
      </c>
      <c r="H49" s="9" t="s">
        <v>229</v>
      </c>
      <c r="I49" s="9" t="s">
        <v>175</v>
      </c>
      <c r="J49" s="9" t="s">
        <v>175</v>
      </c>
      <c r="K49" s="7" t="s">
        <v>175</v>
      </c>
      <c r="L49" s="26"/>
      <c r="M49" s="26"/>
      <c r="N49" s="26"/>
      <c r="O49" s="26"/>
      <c r="P49" s="26"/>
      <c r="Q49" s="26"/>
      <c r="R49" s="26"/>
      <c r="S49" s="26"/>
      <c r="T49" s="26"/>
      <c r="U49" s="26"/>
      <c r="V49" s="26"/>
      <c r="W49" s="26"/>
      <c r="X49" s="26"/>
      <c r="Y49" s="26"/>
    </row>
    <row r="50" spans="1:25" ht="30" x14ac:dyDescent="0.25">
      <c r="A50" s="26"/>
      <c r="B50" s="7">
        <f t="shared" si="0"/>
        <v>47</v>
      </c>
      <c r="C50" s="7" t="s">
        <v>932</v>
      </c>
      <c r="D50" s="7" t="s">
        <v>79</v>
      </c>
      <c r="E50" s="7"/>
      <c r="F50" s="7"/>
      <c r="G50" s="9" t="s">
        <v>175</v>
      </c>
      <c r="H50" s="9" t="s">
        <v>234</v>
      </c>
      <c r="I50" s="9" t="s">
        <v>177</v>
      </c>
      <c r="J50" s="9" t="s">
        <v>177</v>
      </c>
      <c r="K50" s="7" t="s">
        <v>175</v>
      </c>
      <c r="L50" s="26"/>
      <c r="M50" s="26"/>
      <c r="N50" s="26"/>
      <c r="O50" s="26"/>
      <c r="P50" s="26"/>
      <c r="Q50" s="26"/>
      <c r="R50" s="26"/>
      <c r="S50" s="26"/>
      <c r="T50" s="26"/>
      <c r="U50" s="26"/>
      <c r="V50" s="26"/>
      <c r="W50" s="26"/>
      <c r="X50" s="26"/>
      <c r="Y50" s="26"/>
    </row>
    <row r="51" spans="1:25" ht="29.45" customHeight="1" x14ac:dyDescent="0.25">
      <c r="A51" s="26"/>
      <c r="B51" s="7">
        <f t="shared" si="0"/>
        <v>48</v>
      </c>
      <c r="C51" s="7" t="s">
        <v>933</v>
      </c>
      <c r="D51" s="7" t="s">
        <v>79</v>
      </c>
      <c r="E51" s="7"/>
      <c r="F51" s="7"/>
      <c r="G51" s="9" t="s">
        <v>261</v>
      </c>
      <c r="H51" s="9" t="s">
        <v>262</v>
      </c>
      <c r="I51" s="9" t="s">
        <v>175</v>
      </c>
      <c r="J51" s="9" t="s">
        <v>175</v>
      </c>
      <c r="K51" s="7" t="s">
        <v>175</v>
      </c>
      <c r="L51" s="26"/>
      <c r="M51" s="26"/>
      <c r="N51" s="26"/>
      <c r="O51" s="26"/>
      <c r="P51" s="26"/>
      <c r="Q51" s="26"/>
      <c r="R51" s="26"/>
      <c r="S51" s="26"/>
      <c r="T51" s="26"/>
      <c r="U51" s="26"/>
      <c r="V51" s="26"/>
      <c r="W51" s="26"/>
      <c r="X51" s="26"/>
      <c r="Y51" s="26"/>
    </row>
    <row r="52" spans="1:25" ht="30" x14ac:dyDescent="0.25">
      <c r="A52" s="26"/>
      <c r="B52" s="7">
        <f t="shared" si="0"/>
        <v>49</v>
      </c>
      <c r="C52" s="7" t="s">
        <v>934</v>
      </c>
      <c r="D52" s="7" t="s">
        <v>79</v>
      </c>
      <c r="E52" s="7"/>
      <c r="F52" s="7"/>
      <c r="G52" s="9" t="s">
        <v>175</v>
      </c>
      <c r="H52" s="9" t="s">
        <v>234</v>
      </c>
      <c r="I52" s="9" t="s">
        <v>175</v>
      </c>
      <c r="J52" s="9" t="s">
        <v>175</v>
      </c>
      <c r="K52" s="7" t="s">
        <v>175</v>
      </c>
      <c r="L52" s="26"/>
      <c r="M52" s="26"/>
      <c r="N52" s="26"/>
      <c r="O52" s="26"/>
      <c r="P52" s="26"/>
      <c r="Q52" s="26"/>
      <c r="R52" s="26"/>
      <c r="S52" s="26"/>
      <c r="T52" s="26"/>
      <c r="U52" s="26"/>
      <c r="V52" s="26"/>
      <c r="W52" s="26"/>
      <c r="X52" s="26"/>
      <c r="Y52" s="26"/>
    </row>
    <row r="53" spans="1:25" ht="30" x14ac:dyDescent="0.25">
      <c r="A53" s="26"/>
      <c r="B53" s="7">
        <f t="shared" si="0"/>
        <v>50</v>
      </c>
      <c r="C53" s="7" t="s">
        <v>278</v>
      </c>
      <c r="D53" s="7" t="s">
        <v>79</v>
      </c>
      <c r="E53" s="7"/>
      <c r="F53" s="7"/>
      <c r="G53" s="9" t="s">
        <v>175</v>
      </c>
      <c r="H53" s="9" t="s">
        <v>234</v>
      </c>
      <c r="I53" s="9" t="s">
        <v>175</v>
      </c>
      <c r="J53" s="9" t="s">
        <v>175</v>
      </c>
      <c r="K53" s="7" t="s">
        <v>175</v>
      </c>
      <c r="L53" s="26"/>
      <c r="M53" s="26"/>
      <c r="N53" s="26"/>
      <c r="O53" s="26"/>
      <c r="P53" s="26"/>
      <c r="Q53" s="26"/>
      <c r="R53" s="26"/>
      <c r="S53" s="26"/>
      <c r="T53" s="26"/>
      <c r="U53" s="26"/>
      <c r="V53" s="26"/>
      <c r="W53" s="26"/>
      <c r="X53" s="26"/>
      <c r="Y53" s="26"/>
    </row>
    <row r="54" spans="1:25" ht="29.45" customHeight="1" x14ac:dyDescent="0.25">
      <c r="A54" s="26"/>
      <c r="B54" s="7">
        <f t="shared" si="0"/>
        <v>51</v>
      </c>
      <c r="C54" s="7" t="s">
        <v>942</v>
      </c>
      <c r="D54" s="7" t="s">
        <v>79</v>
      </c>
      <c r="E54" s="7"/>
      <c r="F54" s="7"/>
      <c r="G54" s="9" t="s">
        <v>175</v>
      </c>
      <c r="H54" s="9" t="s">
        <v>234</v>
      </c>
      <c r="I54" s="9" t="s">
        <v>175</v>
      </c>
      <c r="J54" s="9" t="s">
        <v>175</v>
      </c>
      <c r="K54" s="7"/>
      <c r="L54" s="26"/>
      <c r="M54" s="26"/>
      <c r="N54" s="26"/>
      <c r="O54" s="26"/>
      <c r="P54" s="26"/>
      <c r="Q54" s="26"/>
      <c r="R54" s="26"/>
      <c r="S54" s="26"/>
      <c r="T54" s="26"/>
      <c r="U54" s="26"/>
      <c r="V54" s="26"/>
      <c r="W54" s="26"/>
      <c r="X54" s="26"/>
      <c r="Y54" s="26"/>
    </row>
    <row r="55" spans="1:25" ht="30" x14ac:dyDescent="0.25">
      <c r="A55" s="26"/>
      <c r="B55" s="7">
        <f>B54+1</f>
        <v>52</v>
      </c>
      <c r="C55" s="7" t="s">
        <v>279</v>
      </c>
      <c r="D55" s="7" t="s">
        <v>184</v>
      </c>
      <c r="E55" s="7"/>
      <c r="F55" s="7"/>
      <c r="G55" s="9" t="s">
        <v>175</v>
      </c>
      <c r="H55" s="9" t="s">
        <v>234</v>
      </c>
      <c r="I55" s="9" t="s">
        <v>175</v>
      </c>
      <c r="J55" s="9" t="s">
        <v>175</v>
      </c>
      <c r="K55" s="7" t="s">
        <v>175</v>
      </c>
      <c r="L55" s="26"/>
      <c r="M55" s="26"/>
      <c r="N55" s="26"/>
      <c r="O55" s="26"/>
      <c r="P55" s="26"/>
      <c r="Q55" s="26"/>
      <c r="R55" s="26"/>
      <c r="S55" s="26"/>
      <c r="T55" s="26"/>
      <c r="U55" s="26"/>
      <c r="V55" s="26"/>
      <c r="W55" s="26"/>
      <c r="X55" s="26"/>
      <c r="Y55" s="26"/>
    </row>
    <row r="56" spans="1:25" ht="30" x14ac:dyDescent="0.25">
      <c r="A56" s="26"/>
      <c r="B56" s="7">
        <f t="shared" si="0"/>
        <v>53</v>
      </c>
      <c r="C56" s="7" t="s">
        <v>922</v>
      </c>
      <c r="D56" s="7" t="s">
        <v>184</v>
      </c>
      <c r="E56" s="7"/>
      <c r="F56" s="7"/>
      <c r="G56" s="9" t="s">
        <v>177</v>
      </c>
      <c r="H56" s="9" t="s">
        <v>229</v>
      </c>
      <c r="I56" s="9" t="s">
        <v>177</v>
      </c>
      <c r="J56" s="9" t="s">
        <v>177</v>
      </c>
      <c r="K56" s="7" t="s">
        <v>175</v>
      </c>
      <c r="L56" s="26"/>
      <c r="M56" s="26"/>
      <c r="N56" s="26"/>
      <c r="O56" s="26"/>
      <c r="P56" s="26"/>
      <c r="Q56" s="26"/>
      <c r="R56" s="26"/>
      <c r="S56" s="26"/>
      <c r="T56" s="26"/>
      <c r="U56" s="26"/>
      <c r="V56" s="26"/>
      <c r="W56" s="26"/>
      <c r="X56" s="26"/>
      <c r="Y56" s="26"/>
    </row>
    <row r="57" spans="1:25" ht="30" x14ac:dyDescent="0.25">
      <c r="A57" s="26"/>
      <c r="B57" s="7">
        <f t="shared" si="0"/>
        <v>54</v>
      </c>
      <c r="C57" s="7" t="s">
        <v>281</v>
      </c>
      <c r="D57" s="7" t="s">
        <v>184</v>
      </c>
      <c r="E57" s="7"/>
      <c r="F57" s="7"/>
      <c r="G57" s="9" t="s">
        <v>177</v>
      </c>
      <c r="H57" s="9" t="s">
        <v>229</v>
      </c>
      <c r="I57" s="9" t="s">
        <v>175</v>
      </c>
      <c r="J57" s="9" t="s">
        <v>175</v>
      </c>
      <c r="K57" s="7" t="s">
        <v>175</v>
      </c>
      <c r="L57" s="26"/>
      <c r="M57" s="26"/>
      <c r="N57" s="26"/>
      <c r="O57" s="26"/>
      <c r="P57" s="26"/>
      <c r="Q57" s="26"/>
      <c r="R57" s="26"/>
      <c r="S57" s="26"/>
      <c r="T57" s="26"/>
      <c r="U57" s="26"/>
      <c r="V57" s="26"/>
      <c r="W57" s="26"/>
      <c r="X57" s="26"/>
      <c r="Y57" s="26"/>
    </row>
    <row r="58" spans="1:25" ht="30" x14ac:dyDescent="0.25">
      <c r="A58" s="26"/>
      <c r="B58" s="7">
        <f t="shared" si="0"/>
        <v>55</v>
      </c>
      <c r="C58" s="7" t="s">
        <v>282</v>
      </c>
      <c r="D58" s="7" t="s">
        <v>184</v>
      </c>
      <c r="E58" s="7"/>
      <c r="F58" s="7"/>
      <c r="G58" s="9" t="s">
        <v>177</v>
      </c>
      <c r="H58" s="9" t="s">
        <v>229</v>
      </c>
      <c r="I58" s="9" t="s">
        <v>175</v>
      </c>
      <c r="J58" s="9" t="s">
        <v>175</v>
      </c>
      <c r="K58" s="7" t="s">
        <v>175</v>
      </c>
      <c r="L58" s="26"/>
      <c r="M58" s="26"/>
      <c r="N58" s="26"/>
      <c r="O58" s="26"/>
      <c r="P58" s="26"/>
      <c r="Q58" s="26"/>
      <c r="R58" s="26"/>
      <c r="S58" s="26"/>
      <c r="T58" s="26"/>
      <c r="U58" s="26"/>
      <c r="V58" s="26"/>
      <c r="W58" s="26"/>
      <c r="X58" s="26"/>
      <c r="Y58" s="26"/>
    </row>
    <row r="59" spans="1:25" ht="30" x14ac:dyDescent="0.25">
      <c r="A59" s="26"/>
      <c r="B59" s="7">
        <f t="shared" si="0"/>
        <v>56</v>
      </c>
      <c r="C59" s="7" t="s">
        <v>283</v>
      </c>
      <c r="D59" s="7" t="s">
        <v>181</v>
      </c>
      <c r="E59" s="7"/>
      <c r="F59" s="7"/>
      <c r="G59" s="9" t="s">
        <v>177</v>
      </c>
      <c r="H59" s="9" t="s">
        <v>229</v>
      </c>
      <c r="I59" s="9" t="s">
        <v>177</v>
      </c>
      <c r="J59" s="9" t="s">
        <v>177</v>
      </c>
      <c r="K59" s="7" t="s">
        <v>175</v>
      </c>
      <c r="L59" s="26"/>
      <c r="M59" s="26"/>
      <c r="N59" s="26"/>
      <c r="O59" s="26"/>
      <c r="P59" s="26"/>
      <c r="Q59" s="26"/>
      <c r="R59" s="26"/>
      <c r="S59" s="26"/>
      <c r="T59" s="26"/>
      <c r="U59" s="26"/>
      <c r="V59" s="26"/>
      <c r="W59" s="26"/>
      <c r="X59" s="26"/>
      <c r="Y59" s="26"/>
    </row>
    <row r="60" spans="1:25" ht="30" x14ac:dyDescent="0.25">
      <c r="A60" s="26"/>
      <c r="B60" s="7">
        <f t="shared" si="0"/>
        <v>57</v>
      </c>
      <c r="C60" s="7" t="s">
        <v>284</v>
      </c>
      <c r="D60" s="7" t="s">
        <v>960</v>
      </c>
      <c r="E60" s="7"/>
      <c r="F60" s="7"/>
      <c r="G60" s="9" t="s">
        <v>175</v>
      </c>
      <c r="H60" s="9" t="s">
        <v>234</v>
      </c>
      <c r="I60" s="9" t="s">
        <v>254</v>
      </c>
      <c r="J60" s="9" t="s">
        <v>177</v>
      </c>
      <c r="K60" s="7" t="s">
        <v>175</v>
      </c>
      <c r="L60" s="26"/>
      <c r="M60" s="26"/>
      <c r="N60" s="26"/>
      <c r="O60" s="26"/>
      <c r="P60" s="26"/>
      <c r="Q60" s="26"/>
      <c r="R60" s="26"/>
      <c r="S60" s="26"/>
      <c r="T60" s="26"/>
      <c r="U60" s="26"/>
      <c r="V60" s="26"/>
      <c r="W60" s="26"/>
      <c r="X60" s="26"/>
      <c r="Y60" s="26"/>
    </row>
    <row r="61" spans="1:25" ht="30" x14ac:dyDescent="0.25">
      <c r="A61" s="26"/>
      <c r="B61" s="7">
        <f t="shared" si="0"/>
        <v>58</v>
      </c>
      <c r="C61" s="7" t="s">
        <v>327</v>
      </c>
      <c r="D61" s="7" t="s">
        <v>181</v>
      </c>
      <c r="E61" s="7"/>
      <c r="F61" s="7"/>
      <c r="G61" s="9" t="s">
        <v>175</v>
      </c>
      <c r="H61" s="9" t="s">
        <v>234</v>
      </c>
      <c r="I61" s="9" t="s">
        <v>177</v>
      </c>
      <c r="J61" s="9" t="s">
        <v>177</v>
      </c>
      <c r="K61" s="7" t="s">
        <v>175</v>
      </c>
      <c r="L61" s="26"/>
      <c r="M61" s="26"/>
      <c r="N61" s="26"/>
      <c r="O61" s="26"/>
      <c r="P61" s="26"/>
      <c r="Q61" s="26"/>
      <c r="R61" s="26"/>
      <c r="S61" s="26"/>
      <c r="T61" s="26"/>
      <c r="U61" s="26"/>
      <c r="V61" s="26"/>
      <c r="W61" s="26"/>
      <c r="X61" s="26"/>
      <c r="Y61" s="26"/>
    </row>
    <row r="62" spans="1:25" ht="30" x14ac:dyDescent="0.25">
      <c r="A62" s="26"/>
      <c r="B62" s="7">
        <f t="shared" si="0"/>
        <v>59</v>
      </c>
      <c r="C62" s="7" t="s">
        <v>328</v>
      </c>
      <c r="D62" s="7" t="s">
        <v>181</v>
      </c>
      <c r="E62" s="7"/>
      <c r="F62" s="7"/>
      <c r="G62" s="9" t="s">
        <v>175</v>
      </c>
      <c r="H62" s="9" t="s">
        <v>234</v>
      </c>
      <c r="I62" s="9" t="s">
        <v>254</v>
      </c>
      <c r="J62" s="9" t="s">
        <v>177</v>
      </c>
      <c r="K62" s="7" t="s">
        <v>175</v>
      </c>
      <c r="L62" s="26"/>
      <c r="M62" s="26"/>
      <c r="N62" s="26"/>
      <c r="O62" s="26"/>
      <c r="P62" s="26"/>
      <c r="Q62" s="26"/>
      <c r="R62" s="26"/>
      <c r="S62" s="26"/>
      <c r="T62" s="26"/>
      <c r="U62" s="26"/>
      <c r="V62" s="26"/>
      <c r="W62" s="26"/>
      <c r="X62" s="26"/>
      <c r="Y62" s="26"/>
    </row>
    <row r="63" spans="1:25" ht="30" x14ac:dyDescent="0.25">
      <c r="A63" s="26"/>
      <c r="B63" s="7">
        <f t="shared" si="0"/>
        <v>60</v>
      </c>
      <c r="C63" s="7" t="s">
        <v>329</v>
      </c>
      <c r="D63" s="7" t="s">
        <v>181</v>
      </c>
      <c r="E63" s="7"/>
      <c r="F63" s="7"/>
      <c r="G63" s="9" t="s">
        <v>175</v>
      </c>
      <c r="H63" s="9" t="s">
        <v>234</v>
      </c>
      <c r="I63" s="9" t="s">
        <v>177</v>
      </c>
      <c r="J63" s="9" t="s">
        <v>177</v>
      </c>
      <c r="K63" s="7" t="s">
        <v>175</v>
      </c>
      <c r="L63" s="26"/>
      <c r="M63" s="26"/>
      <c r="N63" s="26"/>
      <c r="O63" s="26"/>
      <c r="P63" s="26"/>
      <c r="Q63" s="26"/>
      <c r="R63" s="26"/>
      <c r="S63" s="26"/>
      <c r="T63" s="26"/>
      <c r="U63" s="26"/>
      <c r="V63" s="26"/>
      <c r="W63" s="26"/>
      <c r="X63" s="26"/>
      <c r="Y63" s="26"/>
    </row>
    <row r="64" spans="1:25" ht="30" x14ac:dyDescent="0.25">
      <c r="A64" s="26"/>
      <c r="B64" s="7">
        <f t="shared" si="0"/>
        <v>61</v>
      </c>
      <c r="C64" s="7" t="s">
        <v>330</v>
      </c>
      <c r="D64" s="7" t="s">
        <v>181</v>
      </c>
      <c r="E64" s="7"/>
      <c r="F64" s="7"/>
      <c r="G64" s="9" t="s">
        <v>175</v>
      </c>
      <c r="H64" s="9" t="s">
        <v>234</v>
      </c>
      <c r="I64" s="9" t="s">
        <v>254</v>
      </c>
      <c r="J64" s="9" t="s">
        <v>177</v>
      </c>
      <c r="K64" s="7" t="s">
        <v>175</v>
      </c>
      <c r="L64" s="26"/>
      <c r="M64" s="26"/>
      <c r="N64" s="26"/>
      <c r="O64" s="26"/>
      <c r="P64" s="26"/>
      <c r="Q64" s="26"/>
      <c r="R64" s="26"/>
      <c r="S64" s="26"/>
      <c r="T64" s="26"/>
      <c r="U64" s="26"/>
      <c r="V64" s="26"/>
      <c r="W64" s="26"/>
      <c r="X64" s="26"/>
      <c r="Y64" s="26"/>
    </row>
    <row r="65" spans="1:25" ht="30" x14ac:dyDescent="0.25">
      <c r="A65" s="26"/>
      <c r="B65" s="7">
        <f t="shared" si="0"/>
        <v>62</v>
      </c>
      <c r="C65" s="7" t="s">
        <v>331</v>
      </c>
      <c r="D65" s="7" t="s">
        <v>181</v>
      </c>
      <c r="E65" s="7"/>
      <c r="F65" s="7"/>
      <c r="G65" s="9" t="s">
        <v>175</v>
      </c>
      <c r="H65" s="9" t="s">
        <v>234</v>
      </c>
      <c r="I65" s="9" t="s">
        <v>254</v>
      </c>
      <c r="J65" s="9" t="s">
        <v>177</v>
      </c>
      <c r="K65" s="7" t="s">
        <v>175</v>
      </c>
      <c r="L65" s="26"/>
      <c r="M65" s="26"/>
      <c r="N65" s="26"/>
      <c r="O65" s="26"/>
      <c r="P65" s="26"/>
      <c r="Q65" s="26"/>
      <c r="R65" s="26"/>
      <c r="S65" s="26"/>
      <c r="T65" s="26"/>
      <c r="U65" s="26"/>
      <c r="V65" s="26"/>
      <c r="W65" s="26"/>
      <c r="X65" s="26"/>
      <c r="Y65" s="26"/>
    </row>
    <row r="66" spans="1:25" ht="30" x14ac:dyDescent="0.25">
      <c r="A66" s="26"/>
      <c r="B66" s="7">
        <f t="shared" si="0"/>
        <v>63</v>
      </c>
      <c r="C66" s="7" t="s">
        <v>332</v>
      </c>
      <c r="D66" s="7" t="s">
        <v>181</v>
      </c>
      <c r="E66" s="7"/>
      <c r="F66" s="7"/>
      <c r="G66" s="9" t="s">
        <v>175</v>
      </c>
      <c r="H66" s="9" t="s">
        <v>234</v>
      </c>
      <c r="I66" s="9" t="s">
        <v>254</v>
      </c>
      <c r="J66" s="9" t="s">
        <v>254</v>
      </c>
      <c r="K66" s="7" t="s">
        <v>175</v>
      </c>
      <c r="L66" s="26"/>
      <c r="M66" s="26"/>
      <c r="N66" s="26"/>
      <c r="O66" s="26"/>
      <c r="P66" s="26"/>
      <c r="Q66" s="26"/>
      <c r="R66" s="26"/>
      <c r="S66" s="26"/>
      <c r="T66" s="26"/>
      <c r="U66" s="26"/>
      <c r="V66" s="26"/>
      <c r="W66" s="26"/>
      <c r="X66" s="26"/>
      <c r="Y66" s="26"/>
    </row>
    <row r="67" spans="1:25" ht="30" x14ac:dyDescent="0.25">
      <c r="A67" s="26"/>
      <c r="B67" s="7">
        <f t="shared" si="0"/>
        <v>64</v>
      </c>
      <c r="C67" s="7" t="s">
        <v>333</v>
      </c>
      <c r="D67" s="7" t="s">
        <v>181</v>
      </c>
      <c r="E67" s="7"/>
      <c r="F67" s="7"/>
      <c r="G67" s="9" t="s">
        <v>175</v>
      </c>
      <c r="H67" s="9" t="s">
        <v>234</v>
      </c>
      <c r="I67" s="9" t="s">
        <v>254</v>
      </c>
      <c r="J67" s="9" t="s">
        <v>177</v>
      </c>
      <c r="K67" s="7" t="s">
        <v>175</v>
      </c>
      <c r="L67" s="26"/>
      <c r="M67" s="26"/>
      <c r="N67" s="26"/>
      <c r="O67" s="26"/>
      <c r="P67" s="26"/>
      <c r="Q67" s="26"/>
      <c r="R67" s="26"/>
      <c r="S67" s="26"/>
      <c r="T67" s="26"/>
      <c r="U67" s="26"/>
      <c r="V67" s="26"/>
      <c r="W67" s="26"/>
      <c r="X67" s="26"/>
      <c r="Y67" s="26"/>
    </row>
    <row r="68" spans="1:25" ht="30" x14ac:dyDescent="0.25">
      <c r="A68" s="26"/>
      <c r="B68" s="7">
        <f t="shared" si="0"/>
        <v>65</v>
      </c>
      <c r="C68" s="7" t="s">
        <v>285</v>
      </c>
      <c r="D68" s="7" t="s">
        <v>181</v>
      </c>
      <c r="E68" s="7"/>
      <c r="F68" s="7"/>
      <c r="G68" s="9" t="s">
        <v>177</v>
      </c>
      <c r="H68" s="9" t="s">
        <v>229</v>
      </c>
      <c r="I68" s="9" t="s">
        <v>177</v>
      </c>
      <c r="J68" s="9" t="s">
        <v>177</v>
      </c>
      <c r="K68" s="7" t="s">
        <v>175</v>
      </c>
      <c r="L68" s="26"/>
      <c r="M68" s="26"/>
      <c r="N68" s="26"/>
      <c r="O68" s="26"/>
      <c r="P68" s="26"/>
      <c r="Q68" s="26"/>
      <c r="R68" s="26"/>
      <c r="S68" s="26"/>
      <c r="T68" s="26"/>
      <c r="U68" s="26"/>
      <c r="V68" s="26"/>
      <c r="W68" s="26"/>
      <c r="X68" s="26"/>
      <c r="Y68" s="26"/>
    </row>
    <row r="69" spans="1:25" ht="30" x14ac:dyDescent="0.25">
      <c r="A69" s="26"/>
      <c r="B69" s="7">
        <f t="shared" si="0"/>
        <v>66</v>
      </c>
      <c r="C69" s="7" t="s">
        <v>286</v>
      </c>
      <c r="D69" s="9" t="s">
        <v>959</v>
      </c>
      <c r="E69" s="7"/>
      <c r="F69" s="7"/>
      <c r="G69" s="9" t="s">
        <v>175</v>
      </c>
      <c r="H69" s="9" t="s">
        <v>234</v>
      </c>
      <c r="I69" s="9" t="s">
        <v>177</v>
      </c>
      <c r="J69" s="9" t="s">
        <v>177</v>
      </c>
      <c r="K69" s="7" t="s">
        <v>175</v>
      </c>
      <c r="L69" s="26"/>
      <c r="M69" s="26"/>
      <c r="N69" s="26"/>
      <c r="O69" s="26"/>
      <c r="P69" s="26"/>
      <c r="Q69" s="26"/>
      <c r="R69" s="26"/>
      <c r="S69" s="26"/>
      <c r="T69" s="26"/>
      <c r="U69" s="26"/>
      <c r="V69" s="26"/>
      <c r="W69" s="26"/>
      <c r="X69" s="26"/>
      <c r="Y69" s="26"/>
    </row>
    <row r="70" spans="1:25" ht="30" x14ac:dyDescent="0.25">
      <c r="A70" s="26"/>
      <c r="B70" s="7">
        <f t="shared" si="0"/>
        <v>67</v>
      </c>
      <c r="C70" s="7" t="s">
        <v>837</v>
      </c>
      <c r="D70" s="9" t="s">
        <v>959</v>
      </c>
      <c r="E70" s="7"/>
      <c r="F70" s="7"/>
      <c r="G70" s="9" t="s">
        <v>175</v>
      </c>
      <c r="H70" s="9" t="s">
        <v>234</v>
      </c>
      <c r="I70" s="9" t="s">
        <v>177</v>
      </c>
      <c r="J70" s="9" t="s">
        <v>177</v>
      </c>
      <c r="K70" s="7" t="s">
        <v>175</v>
      </c>
      <c r="L70" s="26"/>
      <c r="M70" s="26"/>
      <c r="N70" s="26"/>
      <c r="O70" s="26"/>
      <c r="P70" s="26"/>
      <c r="Q70" s="26"/>
      <c r="R70" s="26"/>
      <c r="S70" s="26"/>
      <c r="T70" s="26"/>
      <c r="U70" s="26"/>
      <c r="V70" s="26"/>
      <c r="W70" s="26"/>
      <c r="X70" s="26"/>
      <c r="Y70" s="26"/>
    </row>
    <row r="71" spans="1:25" ht="30.75" thickBot="1" x14ac:dyDescent="0.3">
      <c r="A71" s="26"/>
      <c r="B71" s="7">
        <f t="shared" si="0"/>
        <v>68</v>
      </c>
      <c r="C71" s="287" t="s">
        <v>958</v>
      </c>
      <c r="D71" s="9" t="s">
        <v>959</v>
      </c>
      <c r="E71" s="287"/>
      <c r="F71" s="287"/>
      <c r="G71" s="288" t="s">
        <v>177</v>
      </c>
      <c r="H71" s="288" t="s">
        <v>229</v>
      </c>
      <c r="I71" s="288" t="s">
        <v>177</v>
      </c>
      <c r="J71" s="288" t="s">
        <v>177</v>
      </c>
      <c r="K71" s="7" t="s">
        <v>175</v>
      </c>
      <c r="L71" s="26"/>
      <c r="M71" s="26"/>
      <c r="N71" s="26"/>
      <c r="O71" s="26"/>
      <c r="P71" s="26"/>
      <c r="Q71" s="26"/>
      <c r="R71" s="26"/>
      <c r="S71" s="26"/>
      <c r="T71" s="26"/>
      <c r="U71" s="26"/>
      <c r="V71" s="26"/>
      <c r="W71" s="26"/>
      <c r="X71" s="26"/>
      <c r="Y71" s="26"/>
    </row>
    <row r="72" spans="1:25" ht="15.75" thickTop="1" x14ac:dyDescent="0.25">
      <c r="A72" s="26"/>
      <c r="B72" s="7">
        <f t="shared" si="0"/>
        <v>69</v>
      </c>
      <c r="C72" s="289" t="s">
        <v>935</v>
      </c>
      <c r="D72" s="289" t="s">
        <v>954</v>
      </c>
      <c r="E72" s="289"/>
      <c r="F72" s="289"/>
      <c r="G72" s="290" t="s">
        <v>177</v>
      </c>
      <c r="H72" s="290" t="s">
        <v>967</v>
      </c>
      <c r="I72" s="290" t="s">
        <v>175</v>
      </c>
      <c r="J72" s="290" t="s">
        <v>175</v>
      </c>
      <c r="K72" s="7" t="s">
        <v>175</v>
      </c>
      <c r="L72" s="26"/>
      <c r="M72" s="26"/>
      <c r="N72" s="26"/>
      <c r="O72" s="26"/>
      <c r="P72" s="26"/>
      <c r="Q72" s="26"/>
      <c r="R72" s="26"/>
      <c r="S72" s="26"/>
      <c r="T72" s="26"/>
      <c r="U72" s="26"/>
      <c r="V72" s="26"/>
      <c r="W72" s="26"/>
      <c r="X72" s="26"/>
      <c r="Y72" s="26"/>
    </row>
    <row r="73" spans="1:25" x14ac:dyDescent="0.25">
      <c r="A73" s="26"/>
      <c r="B73" s="7">
        <f t="shared" si="0"/>
        <v>70</v>
      </c>
      <c r="C73" s="7" t="s">
        <v>936</v>
      </c>
      <c r="D73" s="7" t="s">
        <v>954</v>
      </c>
      <c r="E73" s="7"/>
      <c r="F73" s="7"/>
      <c r="G73" s="9" t="s">
        <v>177</v>
      </c>
      <c r="H73" s="9" t="s">
        <v>967</v>
      </c>
      <c r="I73" s="9" t="s">
        <v>175</v>
      </c>
      <c r="J73" s="9" t="s">
        <v>175</v>
      </c>
      <c r="K73" s="7" t="s">
        <v>175</v>
      </c>
      <c r="L73" s="26"/>
      <c r="M73" s="26"/>
      <c r="N73" s="26"/>
      <c r="O73" s="26"/>
      <c r="P73" s="26"/>
      <c r="Q73" s="26"/>
      <c r="R73" s="26"/>
      <c r="S73" s="26"/>
      <c r="T73" s="26"/>
      <c r="U73" s="26"/>
      <c r="V73" s="26"/>
      <c r="W73" s="26"/>
      <c r="X73" s="26"/>
      <c r="Y73" s="26"/>
    </row>
    <row r="74" spans="1:25" x14ac:dyDescent="0.25">
      <c r="A74" s="26"/>
      <c r="B74" s="7">
        <f t="shared" si="0"/>
        <v>71</v>
      </c>
      <c r="C74" s="7" t="s">
        <v>937</v>
      </c>
      <c r="D74" s="7" t="s">
        <v>954</v>
      </c>
      <c r="E74" s="7"/>
      <c r="F74" s="7"/>
      <c r="G74" s="9" t="s">
        <v>177</v>
      </c>
      <c r="H74" s="9" t="s">
        <v>967</v>
      </c>
      <c r="I74" s="9" t="s">
        <v>175</v>
      </c>
      <c r="J74" s="9" t="s">
        <v>175</v>
      </c>
      <c r="K74" s="7" t="s">
        <v>175</v>
      </c>
      <c r="L74" s="26"/>
      <c r="M74" s="26"/>
      <c r="N74" s="26"/>
      <c r="O74" s="26"/>
      <c r="P74" s="26"/>
      <c r="Q74" s="26"/>
      <c r="R74" s="26"/>
      <c r="S74" s="26"/>
      <c r="T74" s="26"/>
      <c r="U74" s="26"/>
      <c r="V74" s="26"/>
      <c r="W74" s="26"/>
      <c r="X74" s="26"/>
      <c r="Y74" s="26"/>
    </row>
    <row r="75" spans="1:25" ht="30" x14ac:dyDescent="0.25">
      <c r="A75" s="26"/>
      <c r="B75" s="7">
        <f t="shared" si="0"/>
        <v>72</v>
      </c>
      <c r="C75" s="7" t="s">
        <v>938</v>
      </c>
      <c r="D75" s="7" t="s">
        <v>954</v>
      </c>
      <c r="E75" s="7"/>
      <c r="F75" s="7"/>
      <c r="G75" s="9" t="s">
        <v>175</v>
      </c>
      <c r="H75" s="9" t="s">
        <v>234</v>
      </c>
      <c r="I75" s="9" t="s">
        <v>175</v>
      </c>
      <c r="J75" s="9" t="s">
        <v>175</v>
      </c>
      <c r="K75" s="7" t="s">
        <v>175</v>
      </c>
      <c r="L75" s="26"/>
      <c r="M75" s="26"/>
      <c r="N75" s="26"/>
      <c r="O75" s="26"/>
      <c r="P75" s="26"/>
      <c r="Q75" s="26"/>
      <c r="R75" s="26"/>
      <c r="S75" s="26"/>
      <c r="T75" s="26"/>
      <c r="U75" s="26"/>
      <c r="V75" s="26"/>
      <c r="W75" s="26"/>
      <c r="X75" s="26"/>
      <c r="Y75" s="26"/>
    </row>
    <row r="76" spans="1:25" ht="29.45" customHeight="1" x14ac:dyDescent="0.25">
      <c r="A76" s="26"/>
      <c r="B76" s="7">
        <f t="shared" si="0"/>
        <v>73</v>
      </c>
      <c r="C76" s="7" t="s">
        <v>939</v>
      </c>
      <c r="D76" s="7" t="s">
        <v>954</v>
      </c>
      <c r="E76" s="7"/>
      <c r="F76" s="7"/>
      <c r="G76" s="9" t="s">
        <v>261</v>
      </c>
      <c r="H76" s="9" t="s">
        <v>262</v>
      </c>
      <c r="I76" s="9" t="s">
        <v>175</v>
      </c>
      <c r="J76" s="9" t="s">
        <v>175</v>
      </c>
      <c r="K76" s="7" t="s">
        <v>175</v>
      </c>
      <c r="L76" s="26"/>
      <c r="M76" s="26"/>
      <c r="N76" s="26"/>
      <c r="O76" s="26"/>
      <c r="P76" s="26"/>
      <c r="Q76" s="26"/>
      <c r="R76" s="26"/>
      <c r="S76" s="26"/>
      <c r="T76" s="26"/>
      <c r="U76" s="26"/>
      <c r="V76" s="26"/>
      <c r="W76" s="26"/>
      <c r="X76" s="26"/>
      <c r="Y76" s="26"/>
    </row>
    <row r="77" spans="1:25" ht="30" x14ac:dyDescent="0.25">
      <c r="A77" s="26"/>
      <c r="B77" s="7">
        <f t="shared" ref="B77:B102" si="1">B76+1</f>
        <v>74</v>
      </c>
      <c r="C77" s="7" t="s">
        <v>198</v>
      </c>
      <c r="D77" s="7" t="s">
        <v>954</v>
      </c>
      <c r="E77" s="7"/>
      <c r="F77" s="7"/>
      <c r="G77" s="9" t="s">
        <v>175</v>
      </c>
      <c r="H77" s="9" t="s">
        <v>234</v>
      </c>
      <c r="I77" s="9" t="s">
        <v>175</v>
      </c>
      <c r="J77" s="9" t="s">
        <v>175</v>
      </c>
      <c r="K77" s="7" t="s">
        <v>175</v>
      </c>
      <c r="L77" s="26"/>
      <c r="M77" s="26"/>
      <c r="N77" s="26"/>
      <c r="O77" s="26"/>
      <c r="P77" s="26"/>
      <c r="Q77" s="26"/>
      <c r="R77" s="26"/>
      <c r="S77" s="26"/>
      <c r="T77" s="26"/>
      <c r="U77" s="26"/>
      <c r="V77" s="26"/>
      <c r="W77" s="26"/>
      <c r="X77" s="26"/>
      <c r="Y77" s="26"/>
    </row>
    <row r="78" spans="1:25" x14ac:dyDescent="0.25">
      <c r="A78" s="26"/>
      <c r="B78" s="7">
        <f t="shared" si="1"/>
        <v>75</v>
      </c>
      <c r="C78" s="7" t="s">
        <v>943</v>
      </c>
      <c r="D78" s="7" t="s">
        <v>954</v>
      </c>
      <c r="E78" s="7"/>
      <c r="F78" s="7"/>
      <c r="G78" s="9" t="s">
        <v>177</v>
      </c>
      <c r="H78" s="9" t="s">
        <v>967</v>
      </c>
      <c r="I78" s="9" t="s">
        <v>175</v>
      </c>
      <c r="J78" s="9" t="s">
        <v>175</v>
      </c>
      <c r="K78" s="7" t="s">
        <v>175</v>
      </c>
      <c r="L78" s="26"/>
      <c r="M78" s="26"/>
      <c r="N78" s="26"/>
      <c r="O78" s="26"/>
      <c r="P78" s="26"/>
      <c r="Q78" s="26"/>
      <c r="R78" s="26"/>
      <c r="S78" s="26"/>
      <c r="T78" s="26"/>
      <c r="U78" s="26"/>
      <c r="V78" s="26"/>
      <c r="W78" s="26"/>
      <c r="X78" s="26"/>
      <c r="Y78" s="26"/>
    </row>
    <row r="79" spans="1:25" ht="30" x14ac:dyDescent="0.25">
      <c r="A79" s="26"/>
      <c r="B79" s="7">
        <f t="shared" si="1"/>
        <v>76</v>
      </c>
      <c r="C79" s="7" t="s">
        <v>944</v>
      </c>
      <c r="D79" s="7" t="s">
        <v>954</v>
      </c>
      <c r="E79" s="7"/>
      <c r="F79" s="7"/>
      <c r="G79" s="9" t="s">
        <v>175</v>
      </c>
      <c r="H79" s="9" t="s">
        <v>234</v>
      </c>
      <c r="I79" s="9" t="s">
        <v>175</v>
      </c>
      <c r="J79" s="9" t="s">
        <v>175</v>
      </c>
      <c r="K79" s="7" t="s">
        <v>175</v>
      </c>
      <c r="L79" s="26"/>
      <c r="M79" s="26"/>
      <c r="N79" s="26"/>
      <c r="O79" s="26"/>
      <c r="P79" s="26"/>
      <c r="Q79" s="26"/>
      <c r="R79" s="26"/>
      <c r="S79" s="26"/>
      <c r="T79" s="26"/>
      <c r="U79" s="26"/>
      <c r="V79" s="26"/>
      <c r="W79" s="26"/>
      <c r="X79" s="26"/>
      <c r="Y79" s="26"/>
    </row>
    <row r="80" spans="1:25" ht="15.75" thickBot="1" x14ac:dyDescent="0.3">
      <c r="A80" s="26"/>
      <c r="B80" s="7">
        <f t="shared" si="1"/>
        <v>77</v>
      </c>
      <c r="C80" s="287" t="s">
        <v>945</v>
      </c>
      <c r="D80" s="287" t="s">
        <v>954</v>
      </c>
      <c r="E80" s="287"/>
      <c r="F80" s="287"/>
      <c r="G80" s="288" t="s">
        <v>177</v>
      </c>
      <c r="H80" s="288" t="s">
        <v>967</v>
      </c>
      <c r="I80" s="9" t="s">
        <v>175</v>
      </c>
      <c r="J80" s="9" t="s">
        <v>175</v>
      </c>
      <c r="K80" s="7" t="s">
        <v>175</v>
      </c>
      <c r="L80" s="26"/>
      <c r="M80" s="26"/>
      <c r="N80" s="26"/>
      <c r="O80" s="26"/>
      <c r="P80" s="26"/>
      <c r="Q80" s="26"/>
      <c r="R80" s="26"/>
      <c r="S80" s="26"/>
      <c r="T80" s="26"/>
      <c r="U80" s="26"/>
      <c r="V80" s="26"/>
      <c r="W80" s="26"/>
      <c r="X80" s="26"/>
      <c r="Y80" s="26"/>
    </row>
    <row r="81" spans="1:25" ht="15.75" thickTop="1" x14ac:dyDescent="0.25">
      <c r="A81" s="26"/>
      <c r="B81" s="7">
        <f t="shared" si="1"/>
        <v>78</v>
      </c>
      <c r="C81" s="289" t="s">
        <v>296</v>
      </c>
      <c r="D81" s="289" t="s">
        <v>297</v>
      </c>
      <c r="E81" s="289"/>
      <c r="F81" s="289"/>
      <c r="G81" s="289" t="s">
        <v>177</v>
      </c>
      <c r="H81" s="451" t="s">
        <v>968</v>
      </c>
      <c r="I81" s="289" t="s">
        <v>175</v>
      </c>
      <c r="J81" s="290" t="s">
        <v>177</v>
      </c>
      <c r="K81" s="7" t="s">
        <v>175</v>
      </c>
      <c r="L81" s="26"/>
      <c r="M81" s="26"/>
      <c r="N81" s="26"/>
      <c r="O81" s="26"/>
      <c r="P81" s="26"/>
      <c r="Q81" s="26"/>
      <c r="R81" s="26"/>
      <c r="S81" s="26"/>
      <c r="T81" s="26"/>
      <c r="U81" s="26"/>
      <c r="V81" s="26"/>
      <c r="W81" s="26"/>
      <c r="X81" s="26"/>
      <c r="Y81" s="26"/>
    </row>
    <row r="82" spans="1:25" x14ac:dyDescent="0.25">
      <c r="A82" s="26"/>
      <c r="B82" s="7">
        <f t="shared" si="1"/>
        <v>79</v>
      </c>
      <c r="C82" s="7" t="s">
        <v>298</v>
      </c>
      <c r="D82" s="7" t="s">
        <v>297</v>
      </c>
      <c r="E82" s="7"/>
      <c r="F82" s="7"/>
      <c r="G82" s="7" t="s">
        <v>177</v>
      </c>
      <c r="H82" s="9" t="s">
        <v>968</v>
      </c>
      <c r="I82" s="7" t="s">
        <v>175</v>
      </c>
      <c r="J82" s="9" t="s">
        <v>177</v>
      </c>
      <c r="K82" s="7" t="s">
        <v>175</v>
      </c>
      <c r="L82" s="26"/>
      <c r="M82" s="26"/>
      <c r="N82" s="26"/>
      <c r="O82" s="26"/>
      <c r="P82" s="26"/>
      <c r="Q82" s="26"/>
      <c r="R82" s="26"/>
      <c r="S82" s="26"/>
      <c r="T82" s="26"/>
      <c r="U82" s="26"/>
      <c r="V82" s="26"/>
      <c r="W82" s="26"/>
      <c r="X82" s="26"/>
      <c r="Y82" s="26"/>
    </row>
    <row r="83" spans="1:25" x14ac:dyDescent="0.25">
      <c r="A83" s="26"/>
      <c r="B83" s="7">
        <f t="shared" si="1"/>
        <v>80</v>
      </c>
      <c r="C83" s="7" t="s">
        <v>299</v>
      </c>
      <c r="D83" s="7" t="s">
        <v>297</v>
      </c>
      <c r="E83" s="7"/>
      <c r="F83" s="7"/>
      <c r="G83" s="7" t="s">
        <v>175</v>
      </c>
      <c r="H83" s="450" t="s">
        <v>968</v>
      </c>
      <c r="I83" s="7" t="s">
        <v>175</v>
      </c>
      <c r="J83" s="9" t="s">
        <v>177</v>
      </c>
      <c r="K83" s="7" t="s">
        <v>175</v>
      </c>
      <c r="L83" s="26"/>
      <c r="M83" s="26"/>
      <c r="N83" s="26"/>
      <c r="O83" s="26"/>
      <c r="P83" s="26"/>
      <c r="Q83" s="26"/>
      <c r="R83" s="26"/>
      <c r="S83" s="26"/>
      <c r="T83" s="26"/>
      <c r="U83" s="26"/>
      <c r="V83" s="26"/>
      <c r="W83" s="26"/>
      <c r="X83" s="26"/>
      <c r="Y83" s="26"/>
    </row>
    <row r="84" spans="1:25" x14ac:dyDescent="0.25">
      <c r="A84" s="26"/>
      <c r="B84" s="7">
        <f t="shared" si="1"/>
        <v>81</v>
      </c>
      <c r="C84" s="7"/>
      <c r="D84" s="7"/>
      <c r="E84" s="18"/>
      <c r="F84" s="18"/>
      <c r="G84" s="7"/>
      <c r="H84" s="9"/>
      <c r="I84" s="18"/>
      <c r="J84" s="18"/>
      <c r="K84" s="7" t="s">
        <v>175</v>
      </c>
      <c r="L84" s="26"/>
      <c r="M84" s="26"/>
      <c r="N84" s="26"/>
      <c r="O84" s="26"/>
      <c r="P84" s="26"/>
      <c r="Q84" s="26"/>
      <c r="R84" s="26"/>
      <c r="S84" s="26"/>
      <c r="T84" s="26"/>
      <c r="U84" s="26"/>
      <c r="V84" s="26"/>
      <c r="W84" s="26"/>
      <c r="X84" s="26"/>
      <c r="Y84" s="26"/>
    </row>
    <row r="85" spans="1:25" x14ac:dyDescent="0.25">
      <c r="A85" s="26"/>
      <c r="B85" s="7">
        <f t="shared" si="1"/>
        <v>82</v>
      </c>
      <c r="C85" s="18"/>
      <c r="D85" s="7"/>
      <c r="E85" s="18"/>
      <c r="F85" s="18"/>
      <c r="G85" s="7"/>
      <c r="H85" s="9"/>
      <c r="I85" s="18"/>
      <c r="J85" s="18"/>
      <c r="K85" s="7"/>
      <c r="L85" s="26"/>
      <c r="M85" s="26"/>
      <c r="N85" s="26"/>
      <c r="O85" s="26"/>
      <c r="P85" s="26"/>
      <c r="Q85" s="26"/>
      <c r="R85" s="26"/>
      <c r="S85" s="26"/>
      <c r="T85" s="26"/>
      <c r="U85" s="26"/>
      <c r="V85" s="26"/>
      <c r="W85" s="26"/>
      <c r="X85" s="26"/>
      <c r="Y85" s="26"/>
    </row>
    <row r="86" spans="1:25" x14ac:dyDescent="0.25">
      <c r="A86" s="26"/>
      <c r="B86" s="7">
        <f t="shared" si="1"/>
        <v>83</v>
      </c>
      <c r="C86" s="18"/>
      <c r="D86" s="7"/>
      <c r="E86" s="18"/>
      <c r="F86" s="18"/>
      <c r="G86" s="7"/>
      <c r="H86" s="9"/>
      <c r="I86" s="18"/>
      <c r="J86" s="18"/>
      <c r="K86" s="7"/>
      <c r="L86" s="26"/>
      <c r="M86" s="26"/>
      <c r="N86" s="26"/>
      <c r="O86" s="26"/>
      <c r="P86" s="26"/>
      <c r="Q86" s="26"/>
      <c r="R86" s="26"/>
      <c r="S86" s="26"/>
      <c r="T86" s="26"/>
      <c r="U86" s="26"/>
      <c r="V86" s="26"/>
      <c r="W86" s="26"/>
      <c r="X86" s="26"/>
      <c r="Y86" s="26"/>
    </row>
    <row r="87" spans="1:25" x14ac:dyDescent="0.25">
      <c r="A87" s="26"/>
      <c r="B87" s="7">
        <f t="shared" si="1"/>
        <v>84</v>
      </c>
      <c r="C87" s="18"/>
      <c r="D87" s="7"/>
      <c r="E87" s="18"/>
      <c r="F87" s="18"/>
      <c r="G87" s="7"/>
      <c r="H87" s="9"/>
      <c r="I87" s="18"/>
      <c r="J87" s="18"/>
      <c r="K87" s="7"/>
      <c r="L87" s="26"/>
      <c r="M87" s="26"/>
      <c r="N87" s="26"/>
      <c r="O87" s="26"/>
      <c r="P87" s="26"/>
      <c r="Q87" s="26"/>
      <c r="R87" s="26"/>
      <c r="S87" s="26"/>
      <c r="T87" s="26"/>
      <c r="U87" s="26"/>
      <c r="V87" s="26"/>
      <c r="W87" s="26"/>
      <c r="X87" s="26"/>
      <c r="Y87" s="26"/>
    </row>
    <row r="88" spans="1:25" x14ac:dyDescent="0.25">
      <c r="A88" s="26"/>
      <c r="B88" s="7">
        <f t="shared" si="1"/>
        <v>85</v>
      </c>
      <c r="C88" s="18"/>
      <c r="D88" s="7"/>
      <c r="E88" s="18"/>
      <c r="F88" s="18"/>
      <c r="G88" s="7"/>
      <c r="H88" s="9"/>
      <c r="I88" s="18"/>
      <c r="J88" s="18"/>
      <c r="K88" s="7"/>
      <c r="L88" s="26"/>
      <c r="M88" s="26"/>
      <c r="N88" s="26"/>
      <c r="O88" s="26"/>
      <c r="P88" s="26"/>
      <c r="Q88" s="26"/>
      <c r="R88" s="26"/>
      <c r="S88" s="26"/>
      <c r="T88" s="26"/>
      <c r="U88" s="26"/>
      <c r="V88" s="26"/>
      <c r="W88" s="26"/>
      <c r="X88" s="26"/>
      <c r="Y88" s="26"/>
    </row>
    <row r="89" spans="1:25" x14ac:dyDescent="0.25">
      <c r="A89" s="26"/>
      <c r="B89" s="7">
        <f t="shared" si="1"/>
        <v>86</v>
      </c>
      <c r="C89" s="18"/>
      <c r="D89" s="7"/>
      <c r="E89" s="18"/>
      <c r="F89" s="18"/>
      <c r="G89" s="7"/>
      <c r="H89" s="9"/>
      <c r="I89" s="18"/>
      <c r="J89" s="18"/>
      <c r="K89" s="7"/>
      <c r="L89" s="26"/>
      <c r="M89" s="26"/>
      <c r="N89" s="26"/>
      <c r="O89" s="26"/>
      <c r="P89" s="26"/>
      <c r="Q89" s="26"/>
      <c r="R89" s="26"/>
      <c r="S89" s="26"/>
      <c r="T89" s="26"/>
      <c r="U89" s="26"/>
      <c r="V89" s="26"/>
      <c r="W89" s="26"/>
      <c r="X89" s="26"/>
      <c r="Y89" s="26"/>
    </row>
    <row r="90" spans="1:25" x14ac:dyDescent="0.25">
      <c r="A90" s="26"/>
      <c r="B90" s="7">
        <f t="shared" si="1"/>
        <v>87</v>
      </c>
      <c r="C90" s="18"/>
      <c r="D90" s="7"/>
      <c r="E90" s="18"/>
      <c r="F90" s="18"/>
      <c r="G90" s="7"/>
      <c r="H90" s="9"/>
      <c r="I90" s="18"/>
      <c r="J90" s="18"/>
      <c r="K90" s="7"/>
      <c r="L90" s="26"/>
      <c r="M90" s="26"/>
      <c r="N90" s="26"/>
      <c r="O90" s="26"/>
      <c r="P90" s="26"/>
      <c r="Q90" s="26"/>
      <c r="R90" s="26"/>
      <c r="S90" s="26"/>
      <c r="T90" s="26"/>
      <c r="U90" s="26"/>
      <c r="V90" s="26"/>
      <c r="W90" s="26"/>
      <c r="X90" s="26"/>
      <c r="Y90" s="26"/>
    </row>
    <row r="91" spans="1:25" x14ac:dyDescent="0.25">
      <c r="A91" s="26"/>
      <c r="B91" s="7">
        <f t="shared" si="1"/>
        <v>88</v>
      </c>
      <c r="C91" s="18"/>
      <c r="D91" s="7"/>
      <c r="E91" s="18"/>
      <c r="F91" s="18"/>
      <c r="G91" s="7"/>
      <c r="H91" s="9"/>
      <c r="I91" s="18"/>
      <c r="J91" s="18"/>
      <c r="K91" s="7"/>
      <c r="L91" s="26"/>
      <c r="M91" s="26"/>
      <c r="N91" s="26"/>
      <c r="O91" s="26"/>
      <c r="P91" s="26"/>
      <c r="Q91" s="26"/>
      <c r="R91" s="26"/>
      <c r="S91" s="26"/>
      <c r="T91" s="26"/>
      <c r="U91" s="26"/>
      <c r="V91" s="26"/>
      <c r="W91" s="26"/>
      <c r="X91" s="26"/>
      <c r="Y91" s="26"/>
    </row>
    <row r="92" spans="1:25" x14ac:dyDescent="0.25">
      <c r="A92" s="26"/>
      <c r="B92" s="7">
        <f t="shared" si="1"/>
        <v>89</v>
      </c>
      <c r="C92" s="18"/>
      <c r="D92" s="7"/>
      <c r="E92" s="18"/>
      <c r="F92" s="18"/>
      <c r="G92" s="7"/>
      <c r="H92" s="9"/>
      <c r="I92" s="18"/>
      <c r="J92" s="18"/>
      <c r="K92" s="7"/>
      <c r="L92" s="26"/>
      <c r="M92" s="26"/>
      <c r="N92" s="26"/>
      <c r="O92" s="26"/>
      <c r="P92" s="26"/>
      <c r="Q92" s="26"/>
      <c r="R92" s="26"/>
      <c r="S92" s="26"/>
      <c r="T92" s="26"/>
      <c r="U92" s="26"/>
      <c r="V92" s="26"/>
      <c r="W92" s="26"/>
      <c r="X92" s="26"/>
      <c r="Y92" s="26"/>
    </row>
    <row r="93" spans="1:25" x14ac:dyDescent="0.25">
      <c r="A93" s="26"/>
      <c r="B93" s="7">
        <f t="shared" si="1"/>
        <v>90</v>
      </c>
      <c r="C93" s="18"/>
      <c r="D93" s="7"/>
      <c r="E93" s="18"/>
      <c r="F93" s="18"/>
      <c r="G93" s="7"/>
      <c r="H93" s="9"/>
      <c r="I93" s="18"/>
      <c r="J93" s="18"/>
      <c r="K93" s="7"/>
      <c r="L93" s="26"/>
      <c r="M93" s="26"/>
      <c r="N93" s="26"/>
      <c r="O93" s="26"/>
      <c r="P93" s="26"/>
      <c r="Q93" s="26"/>
      <c r="R93" s="26"/>
      <c r="S93" s="26"/>
      <c r="T93" s="26"/>
      <c r="U93" s="26"/>
      <c r="V93" s="26"/>
      <c r="W93" s="26"/>
      <c r="X93" s="26"/>
      <c r="Y93" s="26"/>
    </row>
    <row r="94" spans="1:25" x14ac:dyDescent="0.25">
      <c r="A94" s="26"/>
      <c r="B94" s="7">
        <f t="shared" si="1"/>
        <v>91</v>
      </c>
      <c r="C94" s="18"/>
      <c r="D94" s="7"/>
      <c r="E94" s="18"/>
      <c r="F94" s="18"/>
      <c r="G94" s="7"/>
      <c r="H94" s="9"/>
      <c r="I94" s="18"/>
      <c r="J94" s="18"/>
      <c r="K94" s="7"/>
      <c r="L94" s="26"/>
      <c r="M94" s="26"/>
      <c r="N94" s="26"/>
      <c r="O94" s="26"/>
      <c r="P94" s="26"/>
      <c r="Q94" s="26"/>
      <c r="R94" s="26"/>
      <c r="S94" s="26"/>
      <c r="T94" s="26"/>
      <c r="U94" s="26"/>
      <c r="V94" s="26"/>
      <c r="W94" s="26"/>
      <c r="X94" s="26"/>
      <c r="Y94" s="26"/>
    </row>
    <row r="95" spans="1:25" x14ac:dyDescent="0.25">
      <c r="A95" s="26"/>
      <c r="B95" s="7">
        <f t="shared" si="1"/>
        <v>92</v>
      </c>
      <c r="C95" s="18"/>
      <c r="D95" s="7"/>
      <c r="E95" s="18"/>
      <c r="F95" s="18"/>
      <c r="G95" s="7"/>
      <c r="H95" s="9"/>
      <c r="I95" s="18"/>
      <c r="J95" s="18"/>
      <c r="K95" s="7"/>
      <c r="L95" s="26"/>
      <c r="M95" s="26"/>
      <c r="N95" s="26"/>
      <c r="O95" s="26"/>
      <c r="P95" s="26"/>
      <c r="Q95" s="26"/>
      <c r="R95" s="26"/>
      <c r="S95" s="26"/>
      <c r="T95" s="26"/>
      <c r="U95" s="26"/>
      <c r="V95" s="26"/>
      <c r="W95" s="26"/>
      <c r="X95" s="26"/>
      <c r="Y95" s="26"/>
    </row>
    <row r="96" spans="1:25" x14ac:dyDescent="0.25">
      <c r="A96" s="26"/>
      <c r="B96" s="7">
        <f t="shared" si="1"/>
        <v>93</v>
      </c>
      <c r="C96" s="18"/>
      <c r="D96" s="7"/>
      <c r="E96" s="18"/>
      <c r="F96" s="18"/>
      <c r="G96" s="7"/>
      <c r="H96" s="9"/>
      <c r="I96" s="18"/>
      <c r="J96" s="18"/>
      <c r="K96" s="7"/>
      <c r="L96" s="26"/>
      <c r="M96" s="26"/>
      <c r="N96" s="26"/>
      <c r="O96" s="26"/>
      <c r="P96" s="26"/>
      <c r="Q96" s="26"/>
      <c r="R96" s="26"/>
      <c r="S96" s="26"/>
      <c r="T96" s="26"/>
      <c r="U96" s="26"/>
      <c r="V96" s="26"/>
      <c r="W96" s="26"/>
      <c r="X96" s="26"/>
      <c r="Y96" s="26"/>
    </row>
    <row r="97" spans="1:25" x14ac:dyDescent="0.25">
      <c r="A97" s="26"/>
      <c r="B97" s="7">
        <f t="shared" si="1"/>
        <v>94</v>
      </c>
      <c r="C97" s="18"/>
      <c r="D97" s="7"/>
      <c r="E97" s="18"/>
      <c r="F97" s="18"/>
      <c r="G97" s="7"/>
      <c r="H97" s="9"/>
      <c r="I97" s="18"/>
      <c r="J97" s="18"/>
      <c r="K97" s="7"/>
      <c r="L97" s="26"/>
      <c r="M97" s="26"/>
      <c r="N97" s="26"/>
      <c r="O97" s="26"/>
      <c r="P97" s="26"/>
      <c r="Q97" s="26"/>
      <c r="R97" s="26"/>
      <c r="S97" s="26"/>
      <c r="T97" s="26"/>
      <c r="U97" s="26"/>
      <c r="V97" s="26"/>
      <c r="W97" s="26"/>
      <c r="X97" s="26"/>
      <c r="Y97" s="26"/>
    </row>
    <row r="98" spans="1:25" x14ac:dyDescent="0.25">
      <c r="A98" s="26"/>
      <c r="B98" s="7">
        <f t="shared" si="1"/>
        <v>95</v>
      </c>
      <c r="C98" s="18"/>
      <c r="D98" s="7"/>
      <c r="E98" s="18"/>
      <c r="F98" s="18"/>
      <c r="G98" s="7"/>
      <c r="H98" s="9"/>
      <c r="I98" s="18"/>
      <c r="J98" s="18"/>
      <c r="K98" s="7"/>
      <c r="L98" s="26"/>
      <c r="M98" s="26"/>
      <c r="N98" s="26"/>
      <c r="O98" s="26"/>
      <c r="P98" s="26"/>
      <c r="Q98" s="26"/>
      <c r="R98" s="26"/>
      <c r="S98" s="26"/>
      <c r="T98" s="26"/>
      <c r="U98" s="26"/>
      <c r="V98" s="26"/>
      <c r="W98" s="26"/>
      <c r="X98" s="26"/>
      <c r="Y98" s="26"/>
    </row>
    <row r="99" spans="1:25" x14ac:dyDescent="0.25">
      <c r="A99" s="26"/>
      <c r="B99" s="7">
        <f t="shared" si="1"/>
        <v>96</v>
      </c>
      <c r="C99" s="18"/>
      <c r="D99" s="7"/>
      <c r="E99" s="18"/>
      <c r="F99" s="18"/>
      <c r="G99" s="7"/>
      <c r="H99" s="9"/>
      <c r="I99" s="18"/>
      <c r="J99" s="18"/>
      <c r="K99" s="7"/>
      <c r="L99" s="26"/>
      <c r="M99" s="26"/>
      <c r="N99" s="26"/>
      <c r="O99" s="26"/>
      <c r="P99" s="26"/>
      <c r="Q99" s="26"/>
      <c r="R99" s="26"/>
      <c r="S99" s="26"/>
      <c r="T99" s="26"/>
      <c r="U99" s="26"/>
      <c r="V99" s="26"/>
      <c r="W99" s="26"/>
      <c r="X99" s="26"/>
      <c r="Y99" s="26"/>
    </row>
    <row r="100" spans="1:25" x14ac:dyDescent="0.25">
      <c r="A100" s="26"/>
      <c r="B100" s="7">
        <f t="shared" si="1"/>
        <v>97</v>
      </c>
      <c r="C100" s="18"/>
      <c r="D100" s="7"/>
      <c r="E100" s="18"/>
      <c r="F100" s="18"/>
      <c r="G100" s="7"/>
      <c r="H100" s="9"/>
      <c r="I100" s="18"/>
      <c r="J100" s="18"/>
      <c r="K100" s="7"/>
      <c r="L100" s="26"/>
      <c r="M100" s="26"/>
      <c r="N100" s="26"/>
      <c r="O100" s="26"/>
      <c r="P100" s="26"/>
      <c r="Q100" s="26"/>
      <c r="R100" s="26"/>
      <c r="S100" s="26"/>
      <c r="T100" s="26"/>
      <c r="U100" s="26"/>
      <c r="V100" s="26"/>
      <c r="W100" s="26"/>
      <c r="X100" s="26"/>
      <c r="Y100" s="26"/>
    </row>
    <row r="101" spans="1:25" x14ac:dyDescent="0.25">
      <c r="A101" s="26"/>
      <c r="B101" s="7">
        <f t="shared" si="1"/>
        <v>98</v>
      </c>
      <c r="C101" s="18"/>
      <c r="D101" s="7"/>
      <c r="E101" s="18"/>
      <c r="F101" s="18"/>
      <c r="G101" s="7"/>
      <c r="H101" s="9"/>
      <c r="I101" s="18"/>
      <c r="J101" s="18"/>
      <c r="K101" s="7"/>
      <c r="L101" s="26"/>
      <c r="M101" s="26"/>
      <c r="N101" s="26"/>
      <c r="O101" s="26"/>
      <c r="P101" s="26"/>
      <c r="Q101" s="26"/>
      <c r="R101" s="26"/>
      <c r="S101" s="26"/>
      <c r="T101" s="26"/>
      <c r="U101" s="26"/>
      <c r="V101" s="26"/>
      <c r="W101" s="26"/>
      <c r="X101" s="26"/>
      <c r="Y101" s="26"/>
    </row>
    <row r="102" spans="1:25" x14ac:dyDescent="0.25">
      <c r="A102" s="26"/>
      <c r="B102" s="7">
        <f t="shared" si="1"/>
        <v>99</v>
      </c>
      <c r="K102" s="7"/>
      <c r="L102" s="26"/>
      <c r="M102" s="26"/>
      <c r="N102" s="26"/>
      <c r="O102" s="26"/>
      <c r="P102" s="26"/>
      <c r="Q102" s="26"/>
      <c r="R102" s="26"/>
      <c r="S102" s="26"/>
      <c r="T102" s="26"/>
      <c r="U102" s="26"/>
      <c r="V102" s="26"/>
      <c r="W102" s="26"/>
      <c r="X102" s="26"/>
      <c r="Y102" s="26"/>
    </row>
    <row r="103" spans="1:25" x14ac:dyDescent="0.25">
      <c r="A103" s="26"/>
      <c r="B103" s="31"/>
      <c r="C103" s="31"/>
      <c r="D103" s="31"/>
      <c r="E103" s="31"/>
      <c r="F103" s="31"/>
      <c r="G103" s="31"/>
      <c r="H103" s="31"/>
      <c r="I103" s="31"/>
      <c r="J103" s="31"/>
      <c r="K103" s="26"/>
      <c r="L103" s="26"/>
      <c r="M103" s="26"/>
      <c r="N103" s="26"/>
      <c r="O103" s="26"/>
      <c r="P103" s="26"/>
      <c r="Q103" s="26"/>
      <c r="R103" s="26"/>
      <c r="S103" s="26"/>
      <c r="T103" s="26"/>
      <c r="U103" s="26"/>
      <c r="V103" s="26"/>
      <c r="W103" s="26"/>
      <c r="X103" s="26"/>
      <c r="Y103" s="26"/>
    </row>
    <row r="104" spans="1:25" x14ac:dyDescent="0.25">
      <c r="A104" s="26"/>
      <c r="B104" s="31"/>
      <c r="C104" s="31"/>
      <c r="D104" s="31"/>
      <c r="E104" s="31"/>
      <c r="F104" s="31"/>
      <c r="G104" s="31"/>
      <c r="H104" s="31"/>
      <c r="I104" s="31"/>
      <c r="J104" s="31"/>
      <c r="K104" s="26"/>
      <c r="L104" s="26"/>
      <c r="M104" s="26"/>
      <c r="N104" s="26"/>
      <c r="O104" s="26"/>
      <c r="P104" s="26"/>
      <c r="Q104" s="26"/>
      <c r="R104" s="26"/>
      <c r="S104" s="26"/>
      <c r="T104" s="26"/>
      <c r="U104" s="26"/>
      <c r="V104" s="26"/>
      <c r="W104" s="26"/>
      <c r="X104" s="26"/>
      <c r="Y104" s="26"/>
    </row>
    <row r="105" spans="1:25" x14ac:dyDescent="0.25">
      <c r="A105" s="26"/>
      <c r="B105" s="31"/>
      <c r="C105" s="31"/>
      <c r="D105" s="31"/>
      <c r="E105" s="31"/>
      <c r="F105" s="31"/>
      <c r="G105" s="31"/>
      <c r="H105" s="31"/>
      <c r="I105" s="31"/>
      <c r="J105" s="31"/>
      <c r="K105" s="26"/>
      <c r="L105" s="26"/>
      <c r="M105" s="26"/>
      <c r="N105" s="26"/>
      <c r="O105" s="26"/>
      <c r="P105" s="26"/>
      <c r="Q105" s="26"/>
      <c r="R105" s="26"/>
      <c r="S105" s="26"/>
      <c r="T105" s="26"/>
      <c r="U105" s="26"/>
      <c r="V105" s="26"/>
      <c r="W105" s="26"/>
      <c r="X105" s="26"/>
      <c r="Y105" s="26"/>
    </row>
    <row r="106" spans="1:25" x14ac:dyDescent="0.25">
      <c r="A106" s="26"/>
      <c r="B106" s="31"/>
      <c r="C106" s="31"/>
      <c r="D106" s="31"/>
      <c r="E106" s="31"/>
      <c r="F106" s="31"/>
      <c r="G106" s="31"/>
      <c r="H106" s="31"/>
      <c r="I106" s="31"/>
      <c r="J106" s="31"/>
      <c r="K106" s="26"/>
      <c r="L106" s="26"/>
      <c r="M106" s="26"/>
      <c r="N106" s="26"/>
      <c r="O106" s="26"/>
      <c r="P106" s="26"/>
      <c r="Q106" s="26"/>
      <c r="R106" s="26"/>
      <c r="S106" s="26"/>
      <c r="T106" s="26"/>
      <c r="U106" s="26"/>
      <c r="V106" s="26"/>
      <c r="W106" s="26"/>
      <c r="X106" s="26"/>
      <c r="Y106" s="26"/>
    </row>
    <row r="107" spans="1:25" x14ac:dyDescent="0.25">
      <c r="A107" s="26"/>
      <c r="B107" s="26"/>
      <c r="C107" s="26"/>
      <c r="D107" s="48"/>
      <c r="E107" s="26"/>
      <c r="F107" s="26"/>
      <c r="G107" s="48"/>
      <c r="H107" s="49"/>
      <c r="I107" s="26"/>
      <c r="J107" s="26"/>
      <c r="K107" s="26"/>
      <c r="L107" s="26"/>
      <c r="M107" s="26"/>
      <c r="N107" s="26"/>
      <c r="O107" s="26"/>
      <c r="P107" s="26"/>
      <c r="Q107" s="26"/>
      <c r="R107" s="26"/>
      <c r="S107" s="26"/>
      <c r="T107" s="26"/>
      <c r="U107" s="26"/>
      <c r="V107" s="26"/>
      <c r="W107" s="26"/>
      <c r="X107" s="26"/>
      <c r="Y107" s="26"/>
    </row>
    <row r="108" spans="1:25" x14ac:dyDescent="0.25">
      <c r="A108" s="26"/>
      <c r="B108" s="26"/>
      <c r="C108" s="26"/>
      <c r="D108" s="48"/>
      <c r="E108" s="26"/>
      <c r="F108" s="26"/>
      <c r="G108" s="48"/>
      <c r="H108" s="49"/>
      <c r="I108" s="26"/>
      <c r="J108" s="26"/>
      <c r="K108" s="26"/>
      <c r="L108" s="26"/>
      <c r="M108" s="26"/>
      <c r="N108" s="26"/>
      <c r="O108" s="26"/>
      <c r="P108" s="26"/>
      <c r="Q108" s="26"/>
      <c r="R108" s="26"/>
      <c r="S108" s="26"/>
      <c r="T108" s="26"/>
      <c r="U108" s="26"/>
      <c r="V108" s="26"/>
      <c r="W108" s="26"/>
      <c r="X108" s="26"/>
      <c r="Y108" s="26"/>
    </row>
    <row r="109" spans="1:25" x14ac:dyDescent="0.25">
      <c r="A109" s="26"/>
      <c r="B109" s="26"/>
      <c r="C109" s="26"/>
      <c r="D109" s="48"/>
      <c r="E109" s="26"/>
      <c r="F109" s="26"/>
      <c r="G109" s="48"/>
      <c r="H109" s="49"/>
      <c r="I109" s="26"/>
      <c r="J109" s="26"/>
      <c r="K109" s="26"/>
      <c r="L109" s="26"/>
      <c r="M109" s="26"/>
      <c r="N109" s="26"/>
      <c r="O109" s="26"/>
      <c r="P109" s="26"/>
      <c r="Q109" s="26"/>
      <c r="R109" s="26"/>
      <c r="S109" s="26"/>
      <c r="T109" s="26"/>
      <c r="U109" s="26"/>
      <c r="V109" s="26"/>
      <c r="W109" s="26"/>
      <c r="X109" s="26"/>
      <c r="Y109" s="26"/>
    </row>
    <row r="110" spans="1:25" x14ac:dyDescent="0.25">
      <c r="A110" s="26"/>
      <c r="C110" s="26"/>
      <c r="D110" s="48"/>
      <c r="E110" s="26"/>
      <c r="F110" s="26"/>
      <c r="G110" s="48"/>
      <c r="H110" s="49"/>
      <c r="I110" s="26"/>
      <c r="J110" s="26"/>
      <c r="K110" s="26"/>
      <c r="L110" s="26"/>
      <c r="M110" s="26"/>
      <c r="N110" s="26"/>
      <c r="O110" s="26"/>
      <c r="P110" s="26"/>
      <c r="Q110" s="26"/>
      <c r="R110" s="26"/>
      <c r="S110" s="26"/>
      <c r="T110" s="26"/>
      <c r="U110" s="26"/>
      <c r="V110" s="26"/>
      <c r="W110" s="26"/>
      <c r="X110" s="26"/>
      <c r="Y110" s="26"/>
    </row>
  </sheetData>
  <sheetProtection algorithmName="SHA-512" hashValue="23ApqvntKJO78qBPSG68CTbk6Q8nH9DMQCfnpIfIUnDGdRmpwt7caFCPuu3zzYetWJdMWbJ8sQGd/UFr078LPg==" saltValue="OPSuKZf12zMD/GuOroZ/4g==" spinCount="100000" sheet="1" objects="1" scenarios="1"/>
  <mergeCells count="5">
    <mergeCell ref="C2:F2"/>
    <mergeCell ref="G2:H2"/>
    <mergeCell ref="I2:J2"/>
    <mergeCell ref="B2:B3"/>
    <mergeCell ref="B1:J1"/>
  </mergeCells>
  <phoneticPr fontId="21" type="noConversion"/>
  <pageMargins left="0.7" right="0.7" top="0.75" bottom="0.75" header="0.3" footer="0.3"/>
  <pageSetup paperSize="9" scale="2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External Sharing</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NE</TermName>
          <TermId xmlns="http://schemas.microsoft.com/office/infopath/2007/PartnerControls">70a74972-c838-4a08-aeb8-2c6aad14b4d9</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C21 Change Support Programme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SharedWithUsers xmlns="08894ec1-7550-4066-aff3-9f6acf21a880">
      <UserInfo>
        <DisplayName>Bird, Charlie</DisplayName>
        <AccountId>150</AccountId>
        <AccountType/>
      </UserInfo>
    </SharedWithUsers>
    <lcf76f155ced4ddcb4097134ff3c332f xmlns="98e27532-bbeb-4da6-8880-e7fe4b0abe63">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F0C8D774F9524F4BAB58937A02AB52BD" ma:contentTypeVersion="20" ma:contentTypeDescription="Create a new document." ma:contentTypeScope="" ma:versionID="efcab6a6792ba4a7827966c07dcea75e">
  <xsd:schema xmlns:xsd="http://www.w3.org/2001/XMLSchema" xmlns:xs="http://www.w3.org/2001/XMLSchema" xmlns:p="http://schemas.microsoft.com/office/2006/metadata/properties" xmlns:ns2="662745e8-e224-48e8-a2e3-254862b8c2f5" xmlns:ns3="98e27532-bbeb-4da6-8880-e7fe4b0abe63" xmlns:ns4="08894ec1-7550-4066-aff3-9f6acf21a880" targetNamespace="http://schemas.microsoft.com/office/2006/metadata/properties" ma:root="true" ma:fieldsID="a8ac684c604baf2ee41728a5d866b492" ns2:_="" ns3:_="" ns4:_="">
    <xsd:import namespace="662745e8-e224-48e8-a2e3-254862b8c2f5"/>
    <xsd:import namespace="98e27532-bbeb-4da6-8880-e7fe4b0abe63"/>
    <xsd:import namespace="08894ec1-7550-4066-aff3-9f6acf21a880"/>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d239b6b-5579-48d6-b7fb-43491ab9e18d}" ma:internalName="TaxCatchAll" ma:showField="CatchAllData" ma:web="08894ec1-7550-4066-aff3-9f6acf21a8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d239b6b-5579-48d6-b7fb-43491ab9e18d}" ma:internalName="TaxCatchAllLabel" ma:readOnly="true" ma:showField="CatchAllDataLabel" ma:web="08894ec1-7550-4066-aff3-9f6acf21a880">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et Gain Metric development" ma:internalName="Team">
      <xsd:simpleType>
        <xsd:restriction base="dms:Text"/>
      </xsd:simpleType>
    </xsd:element>
    <xsd:element name="Topic" ma:index="20" nillable="true" ma:displayName="Topic" ma:default="002"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e27532-bbeb-4da6-8880-e7fe4b0abe63"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894ec1-7550-4066-aff3-9f6acf21a88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7B7032-2DF6-4F5B-9CAF-D3F582EC019C}">
  <ds:schemaRefs>
    <ds:schemaRef ds:uri="http://purl.org/dc/elements/1.1/"/>
    <ds:schemaRef ds:uri="98e27532-bbeb-4da6-8880-e7fe4b0abe63"/>
    <ds:schemaRef ds:uri="http://schemas.microsoft.com/office/2006/documentManagement/types"/>
    <ds:schemaRef ds:uri="http://purl.org/dc/terms/"/>
    <ds:schemaRef ds:uri="662745e8-e224-48e8-a2e3-254862b8c2f5"/>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 ds:uri="08894ec1-7550-4066-aff3-9f6acf21a880"/>
  </ds:schemaRefs>
</ds:datastoreItem>
</file>

<file path=customXml/itemProps2.xml><?xml version="1.0" encoding="utf-8"?>
<ds:datastoreItem xmlns:ds="http://schemas.openxmlformats.org/officeDocument/2006/customXml" ds:itemID="{83DFE583-F12C-4619-8E22-56352E696A13}">
  <ds:schemaRefs>
    <ds:schemaRef ds:uri="Microsoft.SharePoint.Taxonomy.ContentTypeSync"/>
  </ds:schemaRefs>
</ds:datastoreItem>
</file>

<file path=customXml/itemProps3.xml><?xml version="1.0" encoding="utf-8"?>
<ds:datastoreItem xmlns:ds="http://schemas.openxmlformats.org/officeDocument/2006/customXml" ds:itemID="{EF62FBED-CC6F-4361-B351-FEF6C51D9655}">
  <ds:schemaRefs>
    <ds:schemaRef ds:uri="http://schemas.microsoft.com/sharepoint/v3/contenttype/forms"/>
  </ds:schemaRefs>
</ds:datastoreItem>
</file>

<file path=customXml/itemProps4.xml><?xml version="1.0" encoding="utf-8"?>
<ds:datastoreItem xmlns:ds="http://schemas.openxmlformats.org/officeDocument/2006/customXml" ds:itemID="{DE604CB8-BFD4-4016-AA65-B67E702C3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98e27532-bbeb-4da6-8880-e7fe4b0abe63"/>
    <ds:schemaRef ds:uri="08894ec1-7550-4066-aff3-9f6acf21a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47</vt:i4>
      </vt:variant>
    </vt:vector>
  </HeadingPairs>
  <TitlesOfParts>
    <vt:vector size="59" baseType="lpstr">
      <vt:lpstr>1. Introduction</vt:lpstr>
      <vt:lpstr>2. Site Details</vt:lpstr>
      <vt:lpstr>3. Desktop Assessment</vt:lpstr>
      <vt:lpstr>4. Supporting Information</vt:lpstr>
      <vt:lpstr>5. Area Habitats</vt:lpstr>
      <vt:lpstr>6. Hedges &amp; Lines of Trees</vt:lpstr>
      <vt:lpstr>7. Watercourses</vt:lpstr>
      <vt:lpstr>8. Headline Results</vt:lpstr>
      <vt:lpstr>9. All Habitats + Multipliers</vt:lpstr>
      <vt:lpstr>10. Condition and Temporal</vt:lpstr>
      <vt:lpstr>11. Lists</vt:lpstr>
      <vt:lpstr>13. Habitats Translation</vt:lpstr>
      <vt:lpstr>'6. Hedges &amp; Lines of Trees'!CoastalSaltmarsh</vt:lpstr>
      <vt:lpstr>'7. Watercourses'!CoastalSaltmarsh</vt:lpstr>
      <vt:lpstr>CoastalSaltmarsh</vt:lpstr>
      <vt:lpstr>'6. Hedges &amp; Lines of Trees'!Cropland</vt:lpstr>
      <vt:lpstr>'7. Watercourses'!Cropland</vt:lpstr>
      <vt:lpstr>Cropland</vt:lpstr>
      <vt:lpstr>'6. Hedges &amp; Lines of Trees'!Grassland</vt:lpstr>
      <vt:lpstr>'7. Watercourses'!Grassland</vt:lpstr>
      <vt:lpstr>Grassland</vt:lpstr>
      <vt:lpstr>'6. Hedges &amp; Lines of Trees'!Heathlandandshrub</vt:lpstr>
      <vt:lpstr>'7. Watercourses'!Heathlandandshrub</vt:lpstr>
      <vt:lpstr>Heathlandandshrub</vt:lpstr>
      <vt:lpstr>Hedgerow</vt:lpstr>
      <vt:lpstr>HedgerowsandLinesofTrees</vt:lpstr>
      <vt:lpstr>'6. Hedges &amp; Lines of Trees'!Intertidalhardstructures</vt:lpstr>
      <vt:lpstr>'7. Watercourses'!Intertidalhardstructures</vt:lpstr>
      <vt:lpstr>Intertidalhardstructures</vt:lpstr>
      <vt:lpstr>'6. Hedges &amp; Lines of Trees'!Intertidalsediment</vt:lpstr>
      <vt:lpstr>'7. Watercourses'!Intertidalsediment</vt:lpstr>
      <vt:lpstr>Intertidalsediment</vt:lpstr>
      <vt:lpstr>'6. Hedges &amp; Lines of Trees'!Lakes</vt:lpstr>
      <vt:lpstr>'7. Watercourses'!Lakes</vt:lpstr>
      <vt:lpstr>Lakes</vt:lpstr>
      <vt:lpstr>'6. Hedges &amp; Lines of Trees'!Lineoftrees</vt:lpstr>
      <vt:lpstr>'7. Watercourses'!Lineoftrees</vt:lpstr>
      <vt:lpstr>Lineoftrees</vt:lpstr>
      <vt:lpstr>'1. Introduction'!Print_Area</vt:lpstr>
      <vt:lpstr>'2. Site Details'!Print_Area</vt:lpstr>
      <vt:lpstr>'3. Desktop Assessment'!Print_Area</vt:lpstr>
      <vt:lpstr>'4. Supporting Information'!Print_Area</vt:lpstr>
      <vt:lpstr>'5. Area Habitats'!Print_Area</vt:lpstr>
      <vt:lpstr>'6. Hedges &amp; Lines of Trees'!Print_Area</vt:lpstr>
      <vt:lpstr>'7. Watercourses'!Print_Area</vt:lpstr>
      <vt:lpstr>'8. Headline Results'!Print_Area</vt:lpstr>
      <vt:lpstr>'6. Hedges &amp; Lines of Trees'!Rivers</vt:lpstr>
      <vt:lpstr>'7. Watercourses'!Rivers</vt:lpstr>
      <vt:lpstr>Rivers</vt:lpstr>
      <vt:lpstr>'6. Hedges &amp; Lines of Trees'!Sparselyvegetatedland</vt:lpstr>
      <vt:lpstr>'7. Watercourses'!Sparselyvegetatedland</vt:lpstr>
      <vt:lpstr>Sparselyvegetatedland</vt:lpstr>
      <vt:lpstr>'6. Hedges &amp; Lines of Trees'!Urban</vt:lpstr>
      <vt:lpstr>'7. Watercourses'!Urban</vt:lpstr>
      <vt:lpstr>Urban</vt:lpstr>
      <vt:lpstr>Watercourses</vt:lpstr>
      <vt:lpstr>'6. Hedges &amp; Lines of Trees'!Woodlandandforest</vt:lpstr>
      <vt:lpstr>'7. Watercourses'!Woodlandandforest</vt:lpstr>
      <vt:lpstr>Woodlandandforest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J. Arthur</dc:creator>
  <cp:keywords/>
  <dc:description/>
  <cp:lastModifiedBy>Alex Jelley</cp:lastModifiedBy>
  <cp:revision/>
  <dcterms:created xsi:type="dcterms:W3CDTF">2020-09-14T13:04:31Z</dcterms:created>
  <dcterms:modified xsi:type="dcterms:W3CDTF">2024-03-21T15:55:52Z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0x010100A5BF1C78D9F64B679A5EBDE1C6598EBC0100F0C8D774F9524F4BAB58937A02AB52BD</vt:lpwstr>
  </property>
  <property fmtid="{D5CDD505-2E9C-101B-9397-08002B2CF9AE}" pid="3" name="InformationType">
    <vt:lpwstr/>
  </property>
  <property fmtid="{D5CDD505-2E9C-101B-9397-08002B2CF9AE}" pid="4" name="Distribution">
    <vt:lpwstr>9;#Internal NE|70a74972-c838-4a08-aeb8-2c6aad14b4d9</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8;#NE|275df9ce-cd92-4318-adfe-db572e51c7ff</vt:lpwstr>
  </property>
  <property fmtid="{D5CDD505-2E9C-101B-9397-08002B2CF9AE}" pid="9" name="SharedWithUsers">
    <vt:lpwstr>150;#Bird, Charlie</vt:lpwstr>
  </property>
</Properties>
</file>